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firstSheet="1" activeTab="3"/>
  </bookViews>
  <sheets>
    <sheet name="Eliptical Volume" sheetId="1" r:id="rId1"/>
    <sheet name="Volcano Summary" sheetId="2" r:id="rId2"/>
    <sheet name="Material Properties" sheetId="3" r:id="rId3"/>
    <sheet name="10% Errosion Rate" sheetId="4" r:id="rId4"/>
  </sheets>
  <definedNames/>
  <calcPr fullCalcOnLoad="1"/>
</workbook>
</file>

<file path=xl/sharedStrings.xml><?xml version="1.0" encoding="utf-8"?>
<sst xmlns="http://schemas.openxmlformats.org/spreadsheetml/2006/main" count="262" uniqueCount="216">
  <si>
    <t>Mega Volcano Volume</t>
  </si>
  <si>
    <t>Mass</t>
  </si>
  <si>
    <t>rock</t>
  </si>
  <si>
    <t>vapor</t>
  </si>
  <si>
    <t>Vol Mag</t>
  </si>
  <si>
    <t>m3</t>
  </si>
  <si>
    <t>Height</t>
  </si>
  <si>
    <t>m2</t>
  </si>
  <si>
    <t>Cap Rock</t>
  </si>
  <si>
    <t>thick</t>
  </si>
  <si>
    <t>m</t>
  </si>
  <si>
    <t>Ro</t>
  </si>
  <si>
    <t>kg/m3</t>
  </si>
  <si>
    <t>inlet press</t>
  </si>
  <si>
    <t>psi</t>
  </si>
  <si>
    <t>Initial Vent</t>
  </si>
  <si>
    <t>m dia</t>
  </si>
  <si>
    <t>Vent Fluid</t>
  </si>
  <si>
    <t>Temp.</t>
  </si>
  <si>
    <t>C</t>
  </si>
  <si>
    <t>Vapour 1/Ro</t>
  </si>
  <si>
    <t>disch press</t>
  </si>
  <si>
    <t>bar A</t>
  </si>
  <si>
    <t>bar g</t>
  </si>
  <si>
    <t>atm.</t>
  </si>
  <si>
    <t>Silicon Properties</t>
  </si>
  <si>
    <t>MW</t>
  </si>
  <si>
    <t>amu</t>
  </si>
  <si>
    <t>MP</t>
  </si>
  <si>
    <t>k</t>
  </si>
  <si>
    <t>c</t>
  </si>
  <si>
    <t>BP</t>
  </si>
  <si>
    <t>@ 1 bar A</t>
  </si>
  <si>
    <t>Kj/mol</t>
  </si>
  <si>
    <t>ΔfH0gas</t>
  </si>
  <si>
    <r>
      <t>Δ</t>
    </r>
    <r>
      <rPr>
        <vertAlign val="subscript"/>
        <sz val="10"/>
        <rFont val="Arial"/>
        <family val="0"/>
      </rPr>
      <t>f</t>
    </r>
    <r>
      <rPr>
        <sz val="10"/>
        <rFont val="Arial"/>
        <family val="0"/>
      </rPr>
      <t>H</t>
    </r>
    <r>
      <rPr>
        <vertAlign val="superscript"/>
        <sz val="10"/>
        <rFont val="Arial"/>
        <family val="0"/>
      </rPr>
      <t>0</t>
    </r>
    <r>
      <rPr>
        <vertAlign val="subscript"/>
        <sz val="10"/>
        <rFont val="Arial"/>
        <family val="0"/>
      </rPr>
      <t>liquid</t>
    </r>
  </si>
  <si>
    <r>
      <t>Δ</t>
    </r>
    <r>
      <rPr>
        <vertAlign val="subscript"/>
        <sz val="10"/>
        <rFont val="Arial"/>
        <family val="0"/>
      </rPr>
      <t>f</t>
    </r>
    <r>
      <rPr>
        <sz val="10"/>
        <rFont val="Arial"/>
        <family val="0"/>
      </rPr>
      <t>H</t>
    </r>
    <r>
      <rPr>
        <vertAlign val="superscript"/>
        <sz val="10"/>
        <rFont val="Arial"/>
        <family val="0"/>
      </rPr>
      <t>0</t>
    </r>
    <r>
      <rPr>
        <vertAlign val="subscript"/>
        <sz val="10"/>
        <rFont val="Arial"/>
        <family val="0"/>
      </rPr>
      <t>solid</t>
    </r>
  </si>
  <si>
    <t>S0gas, 1 bar</t>
  </si>
  <si>
    <t>j/mol - k</t>
  </si>
  <si>
    <r>
      <t>S</t>
    </r>
    <r>
      <rPr>
        <vertAlign val="superscript"/>
        <sz val="10"/>
        <rFont val="Arial"/>
        <family val="0"/>
      </rPr>
      <t>0</t>
    </r>
    <r>
      <rPr>
        <vertAlign val="subscript"/>
        <sz val="10"/>
        <rFont val="Arial"/>
        <family val="0"/>
      </rPr>
      <t>solid</t>
    </r>
  </si>
  <si>
    <t>Iron</t>
  </si>
  <si>
    <t>- cast</t>
  </si>
  <si>
    <t>0.420</t>
  </si>
  <si>
    <t>- pure</t>
  </si>
  <si>
    <t>0.447</t>
  </si>
  <si>
    <t>Glass</t>
  </si>
  <si>
    <t>- crown</t>
  </si>
  <si>
    <t>0.670</t>
  </si>
  <si>
    <t>- flint</t>
  </si>
  <si>
    <t>0.503</t>
  </si>
  <si>
    <t>- Pyrex</t>
  </si>
  <si>
    <t>0.753</t>
  </si>
  <si>
    <t>KJ/kg*K</t>
  </si>
  <si>
    <t>Wardrobe Refractories Pty. Ltd.</t>
  </si>
  <si>
    <t>P.O.Box 960, Caringbah NSW Australia 1495</t>
  </si>
  <si>
    <t>Material</t>
  </si>
  <si>
    <t>Volcano.com / pdf / heats_sollids</t>
  </si>
  <si>
    <t/>
  </si>
  <si>
    <t>avg sp h</t>
  </si>
  <si>
    <t>btu/lb f</t>
  </si>
  <si>
    <t>ht of fusion</t>
  </si>
  <si>
    <t>f</t>
  </si>
  <si>
    <t>lb/ft3</t>
  </si>
  <si>
    <t>lb/in3</t>
  </si>
  <si>
    <t>Iron Cast</t>
  </si>
  <si>
    <t>Iron Wrought</t>
  </si>
  <si>
    <t>Mearsoft</t>
  </si>
  <si>
    <t>glass</t>
  </si>
  <si>
    <t>flint</t>
  </si>
  <si>
    <t>pyrex</t>
  </si>
  <si>
    <t>glass wool</t>
  </si>
  <si>
    <t>iron</t>
  </si>
  <si>
    <t>gray cast</t>
  </si>
  <si>
    <t>white cast</t>
  </si>
  <si>
    <t>York U.</t>
  </si>
  <si>
    <t>sp ht</t>
  </si>
  <si>
    <t>ht of fus</t>
  </si>
  <si>
    <t>2.76*10^5</t>
  </si>
  <si>
    <t>J/kg k</t>
  </si>
  <si>
    <t>j/kg k</t>
  </si>
  <si>
    <t>Steam Table</t>
  </si>
  <si>
    <t>Pressure</t>
  </si>
  <si>
    <t>Temp</t>
  </si>
  <si>
    <t>h</t>
  </si>
  <si>
    <t>1/Ro = v</t>
  </si>
  <si>
    <t>Composition</t>
  </si>
  <si>
    <t xml:space="preserve">water </t>
  </si>
  <si>
    <t>kg</t>
  </si>
  <si>
    <t>Gpa</t>
  </si>
  <si>
    <t>Super Volcano Simulation.</t>
  </si>
  <si>
    <t>Time</t>
  </si>
  <si>
    <t>L/D</t>
  </si>
  <si>
    <t>V bar</t>
  </si>
  <si>
    <t>K: Inlet</t>
  </si>
  <si>
    <t>K: pipe</t>
  </si>
  <si>
    <t>K: outlet</t>
  </si>
  <si>
    <t>f*l/d)</t>
  </si>
  <si>
    <t>Gama</t>
  </si>
  <si>
    <t>Sqrt(Gama P' Vbar)</t>
  </si>
  <si>
    <t>P'= P1-dP</t>
  </si>
  <si>
    <t>gama =</t>
  </si>
  <si>
    <t>m/s</t>
  </si>
  <si>
    <t>V bar stm</t>
  </si>
  <si>
    <t>v(sonic)</t>
  </si>
  <si>
    <t>Steam</t>
  </si>
  <si>
    <t>Fluid</t>
  </si>
  <si>
    <t>Column</t>
  </si>
  <si>
    <t>Ft</t>
  </si>
  <si>
    <t>Avg (Fld/Stm)</t>
  </si>
  <si>
    <t>Avg</t>
  </si>
  <si>
    <t>Vbar Flud</t>
  </si>
  <si>
    <t>m3/kg</t>
  </si>
  <si>
    <t>Vbar avg</t>
  </si>
  <si>
    <t>Time To rize</t>
  </si>
  <si>
    <t>Sec</t>
  </si>
  <si>
    <t>Area</t>
  </si>
  <si>
    <t>Renolds Number</t>
  </si>
  <si>
    <t>dvRo/mu</t>
  </si>
  <si>
    <t>Mu=</t>
  </si>
  <si>
    <t>Vel Fluid</t>
  </si>
  <si>
    <t>vel avg</t>
  </si>
  <si>
    <t>vel steam</t>
  </si>
  <si>
    <t>f *l/d</t>
  </si>
  <si>
    <t>tonne/sec</t>
  </si>
  <si>
    <t>Vsonic Liq</t>
  </si>
  <si>
    <t>Press</t>
  </si>
  <si>
    <t>flow</t>
  </si>
  <si>
    <t>P@shock</t>
  </si>
  <si>
    <t>Vbar G&amp;I</t>
  </si>
  <si>
    <t>Vbar steam</t>
  </si>
  <si>
    <t>Vbar frict</t>
  </si>
  <si>
    <t>Erupt Dur</t>
  </si>
  <si>
    <t>Years</t>
  </si>
  <si>
    <t>Errode</t>
  </si>
  <si>
    <t>area</t>
  </si>
  <si>
    <t>Rock</t>
  </si>
  <si>
    <t>to</t>
  </si>
  <si>
    <t>step</t>
  </si>
  <si>
    <t>Errosioin</t>
  </si>
  <si>
    <t>Rate</t>
  </si>
  <si>
    <t>%</t>
  </si>
  <si>
    <t>Time (sec)</t>
  </si>
  <si>
    <t>Time Hr</t>
  </si>
  <si>
    <t>Discharge</t>
  </si>
  <si>
    <t>Step</t>
  </si>
  <si>
    <t>eroded</t>
  </si>
  <si>
    <t>total</t>
  </si>
  <si>
    <t>K(pipe)</t>
  </si>
  <si>
    <t>Rough</t>
  </si>
  <si>
    <t>Cumulative discharges</t>
  </si>
  <si>
    <t>Eruption Duration</t>
  </si>
  <si>
    <t>sec</t>
  </si>
  <si>
    <t>hr</t>
  </si>
  <si>
    <t>days</t>
  </si>
  <si>
    <t>Day</t>
  </si>
  <si>
    <t>Diameter</t>
  </si>
  <si>
    <t>Renels Numbers</t>
  </si>
  <si>
    <t>Env. Temp</t>
  </si>
  <si>
    <t xml:space="preserve"> Ht H20 @ Disch.</t>
  </si>
  <si>
    <t>Ht H20@ Sat Stem</t>
  </si>
  <si>
    <t>Ht H20 Fusion</t>
  </si>
  <si>
    <t>Ht H20 SubCool</t>
  </si>
  <si>
    <t>SiO4 To Solidus</t>
  </si>
  <si>
    <t>SiO4 Sub Cool</t>
  </si>
  <si>
    <t>Fe To Solidus</t>
  </si>
  <si>
    <t xml:space="preserve">Fe Sub Cool </t>
  </si>
  <si>
    <t>Earth Data</t>
  </si>
  <si>
    <t>Dia Eq.</t>
  </si>
  <si>
    <t>Polar</t>
  </si>
  <si>
    <t>12,760 </t>
  </si>
  <si>
    <t>Mechanical properties of fused quartz are much the same as those of other glasses. The material is extremely strong in compression, with design compressive strength of better than 1.1 x 109 Pa (160,000 psi).</t>
  </si>
  <si>
    <t>However, surface flaws can drastically reduce the inherent strength of any glass, so tensile properties are greatly influenced by these defects. The design tensile strength for fused quartz with good surface quality is in excess of 4.8 x 107 Pa (7,000 psi). Taking into consideration safety features and fatigue, the common practice is to use 6.8 x 106Pa (1000 psi).</t>
  </si>
  <si>
    <t>radius</t>
  </si>
  <si>
    <t>base</t>
  </si>
  <si>
    <t>Mi.</t>
  </si>
  <si>
    <t>Km</t>
  </si>
  <si>
    <t>A =</t>
  </si>
  <si>
    <t>B =</t>
  </si>
  <si>
    <t>C =</t>
  </si>
  <si>
    <t>L (H)</t>
  </si>
  <si>
    <t>X(H)</t>
  </si>
  <si>
    <t>Y(H)</t>
  </si>
  <si>
    <t>E =</t>
  </si>
  <si>
    <t>NORTH</t>
  </si>
  <si>
    <t>A^2 / 2 -(X/2)^2</t>
  </si>
  <si>
    <t>X^2/a^2+Y^2/b^2= 1</t>
  </si>
  <si>
    <t>max ht</t>
  </si>
  <si>
    <t>Northing</t>
  </si>
  <si>
    <t>(Km)^3</t>
  </si>
  <si>
    <t>North Length</t>
  </si>
  <si>
    <t>East Length</t>
  </si>
  <si>
    <t>km^3</t>
  </si>
  <si>
    <t>density</t>
  </si>
  <si>
    <t>Mtonne</t>
  </si>
  <si>
    <t>Ro (Solids)</t>
  </si>
  <si>
    <t>Ro(Dust)</t>
  </si>
  <si>
    <t>KM^3</t>
  </si>
  <si>
    <t>Spherical</t>
  </si>
  <si>
    <t>Swag</t>
  </si>
  <si>
    <t>Wet Density</t>
  </si>
  <si>
    <t>P'=</t>
  </si>
  <si>
    <t>P'/dP</t>
  </si>
  <si>
    <t>Y</t>
  </si>
  <si>
    <t>P'</t>
  </si>
  <si>
    <t>Max</t>
  </si>
  <si>
    <t>dP</t>
  </si>
  <si>
    <t>Term 1</t>
  </si>
  <si>
    <t>w= 1.111*10^-6*Y D^2</t>
  </si>
  <si>
    <t>Term 2</t>
  </si>
  <si>
    <t>dP/(K*Vbar)</t>
  </si>
  <si>
    <t>Vbar = Sp Vol.=</t>
  </si>
  <si>
    <t>Pz =</t>
  </si>
  <si>
    <t>Micro completion</t>
  </si>
  <si>
    <t>0/000 000</t>
  </si>
  <si>
    <t xml:space="preserve">Flow </t>
  </si>
  <si>
    <t>m3/s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</si>
</sst>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0.0000000"/>
    <numFmt numFmtId="171" formatCode="0.0000"/>
    <numFmt numFmtId="172" formatCode="0.00000"/>
    <numFmt numFmtId="173" formatCode="0.E+00"/>
    <numFmt numFmtId="174" formatCode="#,##0.00000"/>
    <numFmt numFmtId="175" formatCode="#,##0.000"/>
    <numFmt numFmtId="176" formatCode="0.000000"/>
    <numFmt numFmtId="177" formatCode="#,##0.000000"/>
    <numFmt numFmtId="178" formatCode="0.00000000"/>
    <numFmt numFmtId="179" formatCode="#,##0.0000000"/>
  </numFmts>
  <fonts count="10">
    <font>
      <sz val="10"/>
      <name val="Arial"/>
      <family val="0"/>
    </font>
    <font>
      <sz val="8"/>
      <name val="Arial"/>
      <family val="0"/>
    </font>
    <font>
      <u val="single"/>
      <sz val="10"/>
      <color indexed="12"/>
      <name val="Arial"/>
      <family val="0"/>
    </font>
    <font>
      <vertAlign val="subscript"/>
      <sz val="10"/>
      <name val="Arial"/>
      <family val="0"/>
    </font>
    <font>
      <vertAlign val="superscript"/>
      <sz val="10"/>
      <name val="Arial"/>
      <family val="0"/>
    </font>
    <font>
      <u val="single"/>
      <sz val="10"/>
      <color indexed="36"/>
      <name val="Arial"/>
      <family val="0"/>
    </font>
    <font>
      <b/>
      <sz val="10"/>
      <name val="Arial"/>
      <family val="0"/>
    </font>
    <font>
      <i/>
      <sz val="10"/>
      <name val="Arial"/>
      <family val="0"/>
    </font>
    <font>
      <sz val="9"/>
      <name val="Times New Roman"/>
      <family val="1"/>
    </font>
    <font>
      <b/>
      <sz val="12"/>
      <name val="Arial"/>
      <family val="0"/>
    </font>
  </fonts>
  <fills count="2">
    <fill>
      <patternFill/>
    </fill>
    <fill>
      <patternFill patternType="gray125"/>
    </fill>
  </fills>
  <borders count="10">
    <border>
      <left/>
      <right/>
      <top/>
      <bottom/>
      <diagonal/>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3" fontId="0" fillId="0" borderId="0" xfId="0" applyNumberFormat="1" applyAlignment="1">
      <alignment/>
    </xf>
    <xf numFmtId="164" fontId="0" fillId="0" borderId="0" xfId="0" applyNumberFormat="1" applyAlignment="1">
      <alignment/>
    </xf>
    <xf numFmtId="2" fontId="0" fillId="0" borderId="0" xfId="0" applyNumberFormat="1" applyAlignment="1">
      <alignment/>
    </xf>
    <xf numFmtId="0" fontId="0" fillId="0" borderId="0" xfId="0" applyAlignment="1" quotePrefix="1">
      <alignment/>
    </xf>
    <xf numFmtId="0" fontId="2" fillId="0" borderId="0" xfId="20" applyAlignment="1">
      <alignment/>
    </xf>
    <xf numFmtId="0" fontId="0" fillId="0" borderId="1" xfId="0" applyBorder="1" applyAlignment="1">
      <alignment wrapText="1"/>
    </xf>
    <xf numFmtId="0" fontId="6" fillId="0" borderId="0" xfId="0" applyFont="1" applyAlignment="1">
      <alignment/>
    </xf>
    <xf numFmtId="0" fontId="7" fillId="0" borderId="0" xfId="0" applyFont="1" applyAlignment="1">
      <alignment horizontal="center"/>
    </xf>
    <xf numFmtId="0" fontId="0" fillId="0" borderId="0" xfId="0" applyFill="1" applyBorder="1" applyAlignment="1">
      <alignment wrapText="1"/>
    </xf>
    <xf numFmtId="0" fontId="0" fillId="0" borderId="0" xfId="0" applyBorder="1" applyAlignment="1">
      <alignment wrapText="1"/>
    </xf>
    <xf numFmtId="0" fontId="0" fillId="0" borderId="0" xfId="0" applyBorder="1" applyAlignment="1" quotePrefix="1">
      <alignment wrapText="1"/>
    </xf>
    <xf numFmtId="169" fontId="0" fillId="0" borderId="0" xfId="0" applyNumberFormat="1" applyAlignment="1">
      <alignment/>
    </xf>
    <xf numFmtId="1" fontId="0" fillId="0" borderId="0" xfId="0" applyNumberFormat="1" applyAlignment="1">
      <alignment/>
    </xf>
    <xf numFmtId="2" fontId="0" fillId="0" borderId="2" xfId="0" applyNumberFormat="1" applyBorder="1" applyAlignment="1">
      <alignment/>
    </xf>
    <xf numFmtId="169" fontId="0" fillId="0" borderId="2" xfId="0" applyNumberFormat="1" applyBorder="1" applyAlignment="1">
      <alignment/>
    </xf>
    <xf numFmtId="0" fontId="0" fillId="0" borderId="2" xfId="0" applyBorder="1" applyAlignment="1">
      <alignment/>
    </xf>
    <xf numFmtId="1" fontId="0" fillId="0" borderId="2" xfId="0" applyNumberFormat="1" applyBorder="1" applyAlignment="1">
      <alignment/>
    </xf>
    <xf numFmtId="171" fontId="0" fillId="0" borderId="0" xfId="0" applyNumberFormat="1" applyAlignment="1">
      <alignment/>
    </xf>
    <xf numFmtId="172" fontId="0" fillId="0" borderId="0" xfId="0" applyNumberFormat="1" applyAlignment="1">
      <alignment/>
    </xf>
    <xf numFmtId="2" fontId="0" fillId="0" borderId="0" xfId="0" applyNumberFormat="1" applyBorder="1" applyAlignment="1">
      <alignment/>
    </xf>
    <xf numFmtId="0" fontId="0" fillId="0" borderId="3" xfId="0" applyBorder="1" applyAlignment="1">
      <alignment/>
    </xf>
    <xf numFmtId="172" fontId="0" fillId="0" borderId="4" xfId="0" applyNumberFormat="1" applyBorder="1" applyAlignment="1">
      <alignment/>
    </xf>
    <xf numFmtId="2" fontId="0" fillId="0" borderId="4" xfId="0" applyNumberFormat="1" applyBorder="1" applyAlignment="1">
      <alignment/>
    </xf>
    <xf numFmtId="0" fontId="0" fillId="0" borderId="4" xfId="0" applyBorder="1" applyAlignment="1">
      <alignment/>
    </xf>
    <xf numFmtId="164" fontId="0" fillId="0" borderId="4" xfId="0" applyNumberFormat="1" applyBorder="1" applyAlignment="1">
      <alignment/>
    </xf>
    <xf numFmtId="2" fontId="0" fillId="0" borderId="5" xfId="0" applyNumberFormat="1" applyBorder="1" applyAlignment="1">
      <alignment/>
    </xf>
    <xf numFmtId="0" fontId="0" fillId="0" borderId="6" xfId="0" applyBorder="1" applyAlignment="1">
      <alignment/>
    </xf>
    <xf numFmtId="172" fontId="0" fillId="0" borderId="0" xfId="0" applyNumberFormat="1" applyBorder="1" applyAlignment="1">
      <alignment/>
    </xf>
    <xf numFmtId="0" fontId="0" fillId="0" borderId="0" xfId="0" applyBorder="1" applyAlignment="1">
      <alignment/>
    </xf>
    <xf numFmtId="164" fontId="0" fillId="0" borderId="0" xfId="0" applyNumberFormat="1" applyBorder="1" applyAlignment="1">
      <alignment/>
    </xf>
    <xf numFmtId="2" fontId="0" fillId="0" borderId="7" xfId="0" applyNumberFormat="1" applyBorder="1" applyAlignment="1">
      <alignment/>
    </xf>
    <xf numFmtId="0" fontId="0" fillId="0" borderId="8" xfId="0" applyBorder="1" applyAlignment="1">
      <alignment/>
    </xf>
    <xf numFmtId="172" fontId="0" fillId="0" borderId="2" xfId="0" applyNumberFormat="1" applyBorder="1" applyAlignment="1">
      <alignment/>
    </xf>
    <xf numFmtId="164" fontId="0" fillId="0" borderId="2" xfId="0" applyNumberFormat="1" applyBorder="1" applyAlignment="1">
      <alignment/>
    </xf>
    <xf numFmtId="2" fontId="0" fillId="0" borderId="9" xfId="0" applyNumberFormat="1" applyBorder="1" applyAlignment="1">
      <alignment/>
    </xf>
    <xf numFmtId="4" fontId="0" fillId="0" borderId="0" xfId="0" applyNumberFormat="1" applyAlignment="1">
      <alignment/>
    </xf>
    <xf numFmtId="173" fontId="0" fillId="0" borderId="0" xfId="0" applyNumberFormat="1" applyAlignment="1">
      <alignment/>
    </xf>
    <xf numFmtId="11" fontId="0" fillId="0" borderId="0" xfId="0" applyNumberFormat="1" applyAlignment="1">
      <alignment/>
    </xf>
    <xf numFmtId="175" fontId="0" fillId="0" borderId="0" xfId="0" applyNumberFormat="1" applyAlignment="1">
      <alignment/>
    </xf>
    <xf numFmtId="0" fontId="8" fillId="0" borderId="0" xfId="0" applyFont="1" applyAlignment="1">
      <alignment/>
    </xf>
    <xf numFmtId="3" fontId="8" fillId="0" borderId="0" xfId="0" applyNumberFormat="1" applyFont="1" applyAlignment="1">
      <alignment/>
    </xf>
    <xf numFmtId="0" fontId="0" fillId="0" borderId="0" xfId="0" applyAlignment="1">
      <alignment horizontal="left"/>
    </xf>
    <xf numFmtId="2" fontId="0" fillId="0" borderId="0" xfId="0" applyNumberFormat="1" applyAlignment="1" quotePrefix="1">
      <alignment horizontal="right"/>
    </xf>
    <xf numFmtId="170" fontId="0" fillId="0" borderId="0" xfId="0" applyNumberFormat="1" applyAlignment="1">
      <alignment/>
    </xf>
    <xf numFmtId="179" fontId="0" fillId="0" borderId="0" xfId="0" applyNumberFormat="1" applyAlignment="1">
      <alignment/>
    </xf>
    <xf numFmtId="3" fontId="0" fillId="0" borderId="2" xfId="0" applyNumberFormat="1" applyBorder="1" applyAlignment="1">
      <alignment/>
    </xf>
    <xf numFmtId="11" fontId="0" fillId="0" borderId="2" xfId="0" applyNumberFormat="1" applyBorder="1" applyAlignment="1">
      <alignment/>
    </xf>
    <xf numFmtId="4" fontId="0" fillId="0" borderId="2" xfId="0" applyNumberFormat="1" applyBorder="1" applyAlignment="1">
      <alignment/>
    </xf>
    <xf numFmtId="175" fontId="0" fillId="0" borderId="2" xfId="0" applyNumberFormat="1" applyBorder="1" applyAlignment="1">
      <alignment/>
    </xf>
    <xf numFmtId="172" fontId="0" fillId="0" borderId="0" xfId="20" applyNumberFormat="1" applyFont="1" applyAlignment="1">
      <alignment/>
    </xf>
    <xf numFmtId="169" fontId="0" fillId="0" borderId="0" xfId="20" applyNumberFormat="1" applyFont="1" applyAlignment="1">
      <alignment/>
    </xf>
    <xf numFmtId="172" fontId="0" fillId="0" borderId="2" xfId="20" applyNumberFormat="1" applyFont="1" applyBorder="1" applyAlignment="1">
      <alignment/>
    </xf>
    <xf numFmtId="173" fontId="0" fillId="0" borderId="2" xfId="0" applyNumberFormat="1" applyBorder="1" applyAlignment="1">
      <alignment/>
    </xf>
    <xf numFmtId="0" fontId="0" fillId="0" borderId="0" xfId="0" applyAlignment="1">
      <alignment horizontal="center"/>
    </xf>
    <xf numFmtId="3" fontId="0" fillId="0" borderId="0" xfId="0" applyNumberFormat="1" applyBorder="1" applyAlignment="1">
      <alignment/>
    </xf>
    <xf numFmtId="11" fontId="0" fillId="0" borderId="0" xfId="0" applyNumberFormat="1" applyBorder="1" applyAlignment="1">
      <alignment/>
    </xf>
    <xf numFmtId="172" fontId="0" fillId="0" borderId="0" xfId="20" applyNumberFormat="1" applyFont="1" applyBorder="1" applyAlignment="1">
      <alignment/>
    </xf>
    <xf numFmtId="169" fontId="0" fillId="0" borderId="0" xfId="0" applyNumberFormat="1" applyBorder="1" applyAlignment="1">
      <alignment/>
    </xf>
    <xf numFmtId="173" fontId="0" fillId="0" borderId="0" xfId="0" applyNumberFormat="1" applyBorder="1" applyAlignment="1">
      <alignment/>
    </xf>
    <xf numFmtId="4" fontId="0" fillId="0" borderId="0" xfId="0" applyNumberFormat="1" applyBorder="1" applyAlignment="1">
      <alignment/>
    </xf>
    <xf numFmtId="175" fontId="0" fillId="0" borderId="0" xfId="0"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invert cosh</a:t>
            </a:r>
          </a:p>
        </c:rich>
      </c:tx>
      <c:layout/>
      <c:spPr>
        <a:noFill/>
        <a:ln>
          <a:noFill/>
        </a:ln>
      </c:spPr>
    </c:title>
    <c:plotArea>
      <c:layout/>
      <c:areaChart>
        <c:grouping val="stacke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'Volcano Summary'!$E$51:$E$91</c:f>
              <c:numCach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er>
        <c:axId val="44013094"/>
        <c:axId val="60573527"/>
      </c:areaChart>
      <c:catAx>
        <c:axId val="44013094"/>
        <c:scaling>
          <c:orientation val="minMax"/>
        </c:scaling>
        <c:axPos val="b"/>
        <c:title>
          <c:tx>
            <c:rich>
              <a:bodyPr vert="horz" rot="0" anchor="ctr"/>
              <a:lstStyle/>
              <a:p>
                <a:pPr algn="ctr">
                  <a:defRPr/>
                </a:pPr>
                <a:r>
                  <a:rPr lang="en-US" cap="none" sz="1000" b="1" i="0" u="none" baseline="0">
                    <a:latin typeface="Arial"/>
                    <a:ea typeface="Arial"/>
                    <a:cs typeface="Arial"/>
                  </a:rPr>
                  <a:t>off set</a:t>
                </a:r>
              </a:p>
            </c:rich>
          </c:tx>
          <c:layout/>
          <c:overlay val="0"/>
          <c:spPr>
            <a:noFill/>
            <a:ln>
              <a:noFill/>
            </a:ln>
          </c:spPr>
        </c:title>
        <c:delete val="0"/>
        <c:numFmt formatCode="General" sourceLinked="1"/>
        <c:majorTickMark val="out"/>
        <c:minorTickMark val="none"/>
        <c:tickLblPos val="nextTo"/>
        <c:crossAx val="60573527"/>
        <c:crosses val="autoZero"/>
        <c:auto val="1"/>
        <c:lblOffset val="100"/>
        <c:noMultiLvlLbl val="0"/>
      </c:catAx>
      <c:valAx>
        <c:axId val="60573527"/>
        <c:scaling>
          <c:orientation val="minMax"/>
        </c:scaling>
        <c:axPos val="l"/>
        <c:majorGridlines/>
        <c:delete val="0"/>
        <c:numFmt formatCode="General" sourceLinked="1"/>
        <c:majorTickMark val="out"/>
        <c:minorTickMark val="none"/>
        <c:tickLblPos val="nextTo"/>
        <c:crossAx val="44013094"/>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'Volcano Summary'!$N$51:$N$91</c:f>
              <c:numCach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ser>
        <c:axId val="8290832"/>
        <c:axId val="7508625"/>
      </c:lineChart>
      <c:catAx>
        <c:axId val="8290832"/>
        <c:scaling>
          <c:orientation val="minMax"/>
        </c:scaling>
        <c:axPos val="b"/>
        <c:delete val="0"/>
        <c:numFmt formatCode="General" sourceLinked="1"/>
        <c:majorTickMark val="out"/>
        <c:minorTickMark val="none"/>
        <c:tickLblPos val="nextTo"/>
        <c:crossAx val="7508625"/>
        <c:crosses val="autoZero"/>
        <c:auto val="1"/>
        <c:lblOffset val="100"/>
        <c:noMultiLvlLbl val="0"/>
      </c:catAx>
      <c:valAx>
        <c:axId val="7508625"/>
        <c:scaling>
          <c:orientation val="minMax"/>
        </c:scaling>
        <c:axPos val="l"/>
        <c:majorGridlines/>
        <c:delete val="0"/>
        <c:numFmt formatCode="General" sourceLinked="1"/>
        <c:majorTickMark val="out"/>
        <c:minorTickMark val="none"/>
        <c:tickLblPos val="nextTo"/>
        <c:crossAx val="829083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485775</xdr:colOff>
      <xdr:row>59</xdr:row>
      <xdr:rowOff>19050</xdr:rowOff>
    </xdr:from>
    <xdr:to>
      <xdr:col>37</xdr:col>
      <xdr:colOff>276225</xdr:colOff>
      <xdr:row>75</xdr:row>
      <xdr:rowOff>123825</xdr:rowOff>
    </xdr:to>
    <xdr:graphicFrame>
      <xdr:nvGraphicFramePr>
        <xdr:cNvPr id="1" name="Chart 1"/>
        <xdr:cNvGraphicFramePr/>
      </xdr:nvGraphicFramePr>
      <xdr:xfrm>
        <a:off x="19545300" y="9572625"/>
        <a:ext cx="4667250" cy="2695575"/>
      </xdr:xfrm>
      <a:graphic>
        <a:graphicData uri="http://schemas.openxmlformats.org/drawingml/2006/chart">
          <c:chart xmlns:c="http://schemas.openxmlformats.org/drawingml/2006/chart" r:id="rId1"/>
        </a:graphicData>
      </a:graphic>
    </xdr:graphicFrame>
    <xdr:clientData/>
  </xdr:twoCellAnchor>
  <xdr:twoCellAnchor>
    <xdr:from>
      <xdr:col>21</xdr:col>
      <xdr:colOff>561975</xdr:colOff>
      <xdr:row>68</xdr:row>
      <xdr:rowOff>95250</xdr:rowOff>
    </xdr:from>
    <xdr:to>
      <xdr:col>29</xdr:col>
      <xdr:colOff>352425</xdr:colOff>
      <xdr:row>85</xdr:row>
      <xdr:rowOff>38100</xdr:rowOff>
    </xdr:to>
    <xdr:graphicFrame>
      <xdr:nvGraphicFramePr>
        <xdr:cNvPr id="2" name="Chart 2"/>
        <xdr:cNvGraphicFramePr/>
      </xdr:nvGraphicFramePr>
      <xdr:xfrm>
        <a:off x="14744700" y="11106150"/>
        <a:ext cx="4667250" cy="26955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en.wikipedia.org/wiki/Standard_enthalpy_change_of_formation" TargetMode="External" /><Relationship Id="rId2" Type="http://schemas.openxmlformats.org/officeDocument/2006/relationships/hyperlink" Target="http://en.wikipedia.org/wiki/Standard_molar_entropy"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P@shock" TargetMode="External" /><Relationship Id="rId2" Type="http://schemas.openxmlformats.org/officeDocument/2006/relationships/hyperlink" Target="mailto:=+H$14*@Ln(G15)/@Ln(G$14)" TargetMode="External" /><Relationship Id="rId3" Type="http://schemas.openxmlformats.org/officeDocument/2006/relationships/hyperlink" Target="mailto:=+H$14*@Ln(G15)/@Ln(G$14)" TargetMode="External" /><Relationship Id="rId4" Type="http://schemas.openxmlformats.org/officeDocument/2006/relationships/hyperlink" Target="mailto:=+H$14*@Ln(G15)/@Ln(G$14)" TargetMode="External" /><Relationship Id="rId5" Type="http://schemas.openxmlformats.org/officeDocument/2006/relationships/hyperlink" Target="mailto:+2*@sqrt(Q7/PI())" TargetMode="External" /><Relationship Id="rId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58"/>
  <sheetViews>
    <sheetView workbookViewId="0" topLeftCell="A31">
      <selection activeCell="D58" sqref="D58"/>
    </sheetView>
  </sheetViews>
  <sheetFormatPr defaultColWidth="9.140625" defaultRowHeight="12.75"/>
  <cols>
    <col min="1" max="1" width="6.140625" style="0" customWidth="1"/>
    <col min="5" max="28" width="5.7109375" style="0" customWidth="1"/>
  </cols>
  <sheetData>
    <row r="1" spans="2:3" ht="12.75">
      <c r="B1" t="s">
        <v>174</v>
      </c>
      <c r="C1" t="s">
        <v>175</v>
      </c>
    </row>
    <row r="2" spans="1:5" ht="12.75">
      <c r="A2" t="s">
        <v>176</v>
      </c>
      <c r="B2">
        <v>50</v>
      </c>
      <c r="C2">
        <f>+B2*63360*0.0254/1000</f>
        <v>80.46719999999999</v>
      </c>
      <c r="E2" s="4">
        <f>+C2/2</f>
        <v>40.233599999999996</v>
      </c>
    </row>
    <row r="3" spans="1:6" ht="12.75">
      <c r="A3" t="s">
        <v>177</v>
      </c>
      <c r="B3">
        <v>25</v>
      </c>
      <c r="C3">
        <f>+B3*63360*0.0254/1000</f>
        <v>40.233599999999996</v>
      </c>
      <c r="E3" s="4">
        <f>+C3/2</f>
        <v>20.116799999999998</v>
      </c>
      <c r="F3" t="s">
        <v>185</v>
      </c>
    </row>
    <row r="4" spans="1:5" ht="12.75">
      <c r="A4" t="s">
        <v>178</v>
      </c>
      <c r="B4">
        <v>5</v>
      </c>
      <c r="C4">
        <f>+B4*63360*0.0254/1000</f>
        <v>8.046719999999999</v>
      </c>
      <c r="E4" s="4">
        <f>+C4/2</f>
        <v>4.023359999999999</v>
      </c>
    </row>
    <row r="6" spans="1:3" ht="12.75">
      <c r="A6" t="s">
        <v>179</v>
      </c>
      <c r="C6">
        <f>+C2</f>
        <v>80.46719999999999</v>
      </c>
    </row>
    <row r="8" spans="1:4" ht="12.75">
      <c r="A8" t="s">
        <v>180</v>
      </c>
      <c r="C8">
        <f>+SQRT(C2^2-C3^2)</f>
        <v>69.68663937140317</v>
      </c>
      <c r="D8">
        <f>+C8/2</f>
        <v>34.84331968570159</v>
      </c>
    </row>
    <row r="9" spans="1:3" ht="12.75">
      <c r="A9" t="s">
        <v>181</v>
      </c>
      <c r="C9">
        <f>+C3/2</f>
        <v>20.116799999999998</v>
      </c>
    </row>
    <row r="11" spans="1:4" ht="12.75">
      <c r="A11" t="s">
        <v>184</v>
      </c>
      <c r="C11">
        <f>+(C2^2)/-D8^2</f>
        <v>5.333333333333333</v>
      </c>
      <c r="D11">
        <f>+SQRT(C11)</f>
        <v>2.309401076758503</v>
      </c>
    </row>
    <row r="12" ht="12.75">
      <c r="E12" t="s">
        <v>187</v>
      </c>
    </row>
    <row r="13" spans="3:27" ht="12.75">
      <c r="C13" t="s">
        <v>183</v>
      </c>
      <c r="D13" t="s">
        <v>186</v>
      </c>
      <c r="E13">
        <v>1</v>
      </c>
      <c r="F13">
        <f>+E13+1</f>
        <v>2</v>
      </c>
      <c r="G13">
        <f aca="true" t="shared" si="0" ref="G13:AA13">+F13+1</f>
        <v>3</v>
      </c>
      <c r="H13">
        <f t="shared" si="0"/>
        <v>4</v>
      </c>
      <c r="I13">
        <f t="shared" si="0"/>
        <v>5</v>
      </c>
      <c r="J13">
        <f t="shared" si="0"/>
        <v>6</v>
      </c>
      <c r="K13">
        <f t="shared" si="0"/>
        <v>7</v>
      </c>
      <c r="L13">
        <f t="shared" si="0"/>
        <v>8</v>
      </c>
      <c r="M13">
        <f t="shared" si="0"/>
        <v>9</v>
      </c>
      <c r="N13">
        <f t="shared" si="0"/>
        <v>10</v>
      </c>
      <c r="O13">
        <f t="shared" si="0"/>
        <v>11</v>
      </c>
      <c r="P13">
        <f t="shared" si="0"/>
        <v>12</v>
      </c>
      <c r="Q13">
        <f t="shared" si="0"/>
        <v>13</v>
      </c>
      <c r="R13">
        <f t="shared" si="0"/>
        <v>14</v>
      </c>
      <c r="S13">
        <f t="shared" si="0"/>
        <v>15</v>
      </c>
      <c r="T13">
        <f t="shared" si="0"/>
        <v>16</v>
      </c>
      <c r="U13">
        <f t="shared" si="0"/>
        <v>17</v>
      </c>
      <c r="V13">
        <f t="shared" si="0"/>
        <v>18</v>
      </c>
      <c r="W13">
        <f t="shared" si="0"/>
        <v>19</v>
      </c>
      <c r="X13">
        <f t="shared" si="0"/>
        <v>20</v>
      </c>
      <c r="Y13">
        <f t="shared" si="0"/>
        <v>21</v>
      </c>
      <c r="Z13">
        <f t="shared" si="0"/>
        <v>22</v>
      </c>
      <c r="AA13">
        <f t="shared" si="0"/>
        <v>23</v>
      </c>
    </row>
    <row r="14" spans="1:24" ht="12.75">
      <c r="A14" t="s">
        <v>182</v>
      </c>
      <c r="B14">
        <v>0</v>
      </c>
      <c r="C14" s="3">
        <f>+SQRT((1-$B14^2/$E$2^2)*$E$3^2)</f>
        <v>20.116799999999998</v>
      </c>
      <c r="D14" s="3">
        <f>+SQRT((1-$B14^2/$E$2^2)*$E$4^2)</f>
        <v>4.023359999999999</v>
      </c>
      <c r="E14">
        <f aca="true" t="shared" si="1" ref="E14:E30">+SQRT((1-E$13^2/$C14^2)*$D14^2)</f>
        <v>4.018385955778762</v>
      </c>
      <c r="F14">
        <f aca="true" t="shared" si="2" ref="F14:U29">+SQRT((1-F$13^2/$C14^2)*$D14^2)</f>
        <v>4.003426743378727</v>
      </c>
      <c r="G14">
        <f t="shared" si="2"/>
        <v>3.9783697276145658</v>
      </c>
      <c r="H14">
        <f t="shared" si="2"/>
        <v>3.9430224054144043</v>
      </c>
      <c r="I14">
        <f t="shared" si="2"/>
        <v>3.8971047829895458</v>
      </c>
      <c r="J14">
        <f t="shared" si="2"/>
        <v>3.8402377126422778</v>
      </c>
      <c r="K14">
        <f t="shared" si="2"/>
        <v>3.77192599206294</v>
      </c>
      <c r="L14">
        <f t="shared" si="2"/>
        <v>3.6915343272953587</v>
      </c>
      <c r="M14">
        <f t="shared" si="2"/>
        <v>3.5982531441798247</v>
      </c>
      <c r="N14">
        <f t="shared" si="2"/>
        <v>3.491049367969464</v>
      </c>
      <c r="O14">
        <f t="shared" si="2"/>
        <v>3.3685940226747415</v>
      </c>
      <c r="P14">
        <f t="shared" si="2"/>
        <v>3.229152472336975</v>
      </c>
      <c r="Q14">
        <f t="shared" si="2"/>
        <v>3.0704113225429577</v>
      </c>
      <c r="R14">
        <f t="shared" si="2"/>
        <v>2.889191182597648</v>
      </c>
      <c r="S14">
        <f t="shared" si="2"/>
        <v>2.6809374646940194</v>
      </c>
      <c r="T14">
        <f t="shared" si="2"/>
        <v>2.438734444255872</v>
      </c>
      <c r="U14">
        <f t="shared" si="2"/>
        <v>2.151145204211003</v>
      </c>
      <c r="V14">
        <f aca="true" t="shared" si="3" ref="V14:X18">+SQRT((1-V$13^2/$C14^2)*$D14^2)</f>
        <v>1.796503740491513</v>
      </c>
      <c r="W14">
        <f t="shared" si="3"/>
        <v>1.3219022995668015</v>
      </c>
      <c r="X14">
        <f t="shared" si="3"/>
        <v>0.4329268871299146</v>
      </c>
    </row>
    <row r="15" spans="2:24" ht="12.75">
      <c r="B15">
        <f>+B14+1</f>
        <v>1</v>
      </c>
      <c r="C15" s="3">
        <f aca="true" t="shared" si="4" ref="C15:C54">+SQRT((1-B15^2/E$2^2)*E$3^2)</f>
        <v>20.110585328130057</v>
      </c>
      <c r="D15" s="3">
        <f aca="true" t="shared" si="5" ref="D15:D54">+SQRT((1-$B15^2/$E$2^2)*$E$4^2)</f>
        <v>4.022117065626011</v>
      </c>
      <c r="E15">
        <f t="shared" si="1"/>
        <v>4.01714148239765</v>
      </c>
      <c r="F15">
        <f t="shared" si="2"/>
        <v>4.002177618447236</v>
      </c>
      <c r="G15">
        <f t="shared" si="2"/>
        <v>3.9771127328251574</v>
      </c>
      <c r="H15">
        <f t="shared" si="2"/>
        <v>3.9417541386545145</v>
      </c>
      <c r="I15">
        <f t="shared" si="2"/>
        <v>3.8958215679879378</v>
      </c>
      <c r="J15">
        <f t="shared" si="2"/>
        <v>3.838935489116741</v>
      </c>
      <c r="K15">
        <f t="shared" si="2"/>
        <v>3.770600176311457</v>
      </c>
      <c r="L15">
        <f t="shared" si="2"/>
        <v>3.690179628364992</v>
      </c>
      <c r="M15">
        <f t="shared" si="2"/>
        <v>3.5968633126100293</v>
      </c>
      <c r="N15">
        <f t="shared" si="2"/>
        <v>3.489616839941026</v>
      </c>
      <c r="O15">
        <f t="shared" si="2"/>
        <v>3.3671093967378</v>
      </c>
      <c r="P15">
        <f t="shared" si="2"/>
        <v>3.227603707024763</v>
      </c>
      <c r="Q15">
        <f t="shared" si="2"/>
        <v>3.0687824441625042</v>
      </c>
      <c r="R15">
        <f t="shared" si="2"/>
        <v>2.8874600758452047</v>
      </c>
      <c r="S15">
        <f t="shared" si="2"/>
        <v>2.6790717962757165</v>
      </c>
      <c r="T15">
        <f t="shared" si="2"/>
        <v>2.4366833379821835</v>
      </c>
      <c r="U15">
        <f t="shared" si="2"/>
        <v>2.1488196037825036</v>
      </c>
      <c r="V15">
        <f t="shared" si="3"/>
        <v>1.7937183975195197</v>
      </c>
      <c r="W15">
        <f t="shared" si="3"/>
        <v>1.318114444803635</v>
      </c>
      <c r="X15">
        <f t="shared" si="3"/>
        <v>0.42121928920693386</v>
      </c>
    </row>
    <row r="16" spans="2:24" ht="12.75">
      <c r="B16">
        <f aca="true" t="shared" si="6" ref="B16:B54">+B15+1</f>
        <v>2</v>
      </c>
      <c r="C16" s="3">
        <f t="shared" si="4"/>
        <v>20.09192977889381</v>
      </c>
      <c r="D16" s="3">
        <f t="shared" si="5"/>
        <v>4.018385955778762</v>
      </c>
      <c r="E16">
        <f t="shared" si="1"/>
        <v>4.01340574694361</v>
      </c>
      <c r="F16">
        <f t="shared" si="2"/>
        <v>3.998427902263588</v>
      </c>
      <c r="G16">
        <f t="shared" si="2"/>
        <v>3.973339362501018</v>
      </c>
      <c r="H16">
        <f t="shared" si="2"/>
        <v>3.9379468876052655</v>
      </c>
      <c r="I16">
        <f t="shared" si="2"/>
        <v>3.8919693844633456</v>
      </c>
      <c r="J16">
        <f t="shared" si="2"/>
        <v>3.83502616543877</v>
      </c>
      <c r="K16">
        <f t="shared" si="2"/>
        <v>3.7666199290079687</v>
      </c>
      <c r="L16">
        <f t="shared" si="2"/>
        <v>3.686112544348042</v>
      </c>
      <c r="M16">
        <f t="shared" si="2"/>
        <v>3.592690591965859</v>
      </c>
      <c r="N16">
        <f t="shared" si="2"/>
        <v>3.485315723087364</v>
      </c>
      <c r="O16">
        <f t="shared" si="2"/>
        <v>3.3626515861147426</v>
      </c>
      <c r="P16">
        <f t="shared" si="2"/>
        <v>3.22295294560749</v>
      </c>
      <c r="Q16">
        <f t="shared" si="2"/>
        <v>3.063890613191012</v>
      </c>
      <c r="R16">
        <f t="shared" si="2"/>
        <v>2.8822605173023472</v>
      </c>
      <c r="S16">
        <f t="shared" si="2"/>
        <v>2.6734669793360073</v>
      </c>
      <c r="T16">
        <f t="shared" si="2"/>
        <v>2.4305196336586126</v>
      </c>
      <c r="U16">
        <f t="shared" si="2"/>
        <v>2.141827651703095</v>
      </c>
      <c r="V16">
        <f t="shared" si="3"/>
        <v>1.785336295939786</v>
      </c>
      <c r="W16">
        <f t="shared" si="3"/>
        <v>1.306685000143491</v>
      </c>
      <c r="X16">
        <f t="shared" si="3"/>
        <v>0.38396053130497126</v>
      </c>
    </row>
    <row r="17" spans="2:24" ht="12.75">
      <c r="B17">
        <f t="shared" si="6"/>
        <v>3</v>
      </c>
      <c r="C17" s="3">
        <f t="shared" si="4"/>
        <v>20.06079864412182</v>
      </c>
      <c r="D17" s="3">
        <f t="shared" si="5"/>
        <v>4.012159728824364</v>
      </c>
      <c r="E17">
        <f t="shared" si="1"/>
        <v>4.007171781893059</v>
      </c>
      <c r="F17">
        <f t="shared" si="2"/>
        <v>3.9921705486614663</v>
      </c>
      <c r="G17">
        <f t="shared" si="2"/>
        <v>3.9670424360724947</v>
      </c>
      <c r="H17">
        <f t="shared" si="2"/>
        <v>3.9315932762176704</v>
      </c>
      <c r="I17">
        <f t="shared" si="2"/>
        <v>3.8855405916809045</v>
      </c>
      <c r="J17">
        <f t="shared" si="2"/>
        <v>3.8285017552039853</v>
      </c>
      <c r="K17">
        <f t="shared" si="2"/>
        <v>3.759976820354082</v>
      </c>
      <c r="L17">
        <f t="shared" si="2"/>
        <v>3.679324080534357</v>
      </c>
      <c r="M17">
        <f t="shared" si="2"/>
        <v>3.585725266888136</v>
      </c>
      <c r="N17">
        <f t="shared" si="2"/>
        <v>3.47813537539872</v>
      </c>
      <c r="O17">
        <f t="shared" si="2"/>
        <v>3.355208740093527</v>
      </c>
      <c r="P17">
        <f t="shared" si="2"/>
        <v>3.215186727019131</v>
      </c>
      <c r="Q17">
        <f t="shared" si="2"/>
        <v>3.055720158915079</v>
      </c>
      <c r="R17">
        <f t="shared" si="2"/>
        <v>2.873573679166761</v>
      </c>
      <c r="S17">
        <f t="shared" si="2"/>
        <v>2.6640994143612575</v>
      </c>
      <c r="T17">
        <f t="shared" si="2"/>
        <v>2.4202119100607686</v>
      </c>
      <c r="U17">
        <f t="shared" si="2"/>
        <v>2.1301233977401393</v>
      </c>
      <c r="V17">
        <f t="shared" si="3"/>
        <v>1.7712779820231481</v>
      </c>
      <c r="W17">
        <f t="shared" si="3"/>
        <v>1.2874104588669437</v>
      </c>
      <c r="X17">
        <f t="shared" si="3"/>
        <v>0.31213088536701217</v>
      </c>
    </row>
    <row r="18" spans="2:24" ht="12.75">
      <c r="B18">
        <f t="shared" si="6"/>
        <v>4</v>
      </c>
      <c r="C18" s="3">
        <f t="shared" si="4"/>
        <v>20.017133716893632</v>
      </c>
      <c r="D18" s="3">
        <f t="shared" si="5"/>
        <v>4.003426743378727</v>
      </c>
      <c r="E18">
        <f t="shared" si="1"/>
        <v>3.9984279022635882</v>
      </c>
      <c r="F18">
        <f t="shared" si="2"/>
        <v>3.9833937402170023</v>
      </c>
      <c r="G18">
        <f t="shared" si="2"/>
        <v>3.958209909744555</v>
      </c>
      <c r="H18">
        <f t="shared" si="2"/>
        <v>3.9226809314039293</v>
      </c>
      <c r="I18">
        <f t="shared" si="2"/>
        <v>3.8765223705790732</v>
      </c>
      <c r="J18">
        <f t="shared" si="2"/>
        <v>3.819348856755559</v>
      </c>
      <c r="K18">
        <f t="shared" si="2"/>
        <v>3.750656701112486</v>
      </c>
      <c r="L18">
        <f t="shared" si="2"/>
        <v>3.669799134775635</v>
      </c>
      <c r="M18">
        <f t="shared" si="2"/>
        <v>3.575951018903922</v>
      </c>
      <c r="N18">
        <f t="shared" si="2"/>
        <v>3.468057913241934</v>
      </c>
      <c r="O18">
        <f t="shared" si="2"/>
        <v>3.3447609316063227</v>
      </c>
      <c r="P18">
        <f t="shared" si="2"/>
        <v>3.2042823985410522</v>
      </c>
      <c r="Q18">
        <f t="shared" si="2"/>
        <v>3.04424468293861</v>
      </c>
      <c r="R18">
        <f t="shared" si="2"/>
        <v>2.861367800475849</v>
      </c>
      <c r="S18">
        <f t="shared" si="2"/>
        <v>2.650929212483803</v>
      </c>
      <c r="T18">
        <f t="shared" si="2"/>
        <v>2.4057069001854727</v>
      </c>
      <c r="U18">
        <f t="shared" si="2"/>
        <v>2.113628559988721</v>
      </c>
      <c r="V18">
        <f t="shared" si="3"/>
        <v>1.7514067744530384</v>
      </c>
      <c r="W18">
        <f t="shared" si="3"/>
        <v>1.2599308273075929</v>
      </c>
      <c r="X18">
        <f t="shared" si="3"/>
        <v>0.16560703366703913</v>
      </c>
    </row>
    <row r="19" spans="2:23" ht="12.75">
      <c r="B19">
        <f t="shared" si="6"/>
        <v>5</v>
      </c>
      <c r="C19" s="3">
        <f t="shared" si="4"/>
        <v>19.960852743307335</v>
      </c>
      <c r="D19" s="3">
        <f t="shared" si="5"/>
        <v>3.9921705486614663</v>
      </c>
      <c r="E19">
        <f t="shared" si="1"/>
        <v>3.9871575952801255</v>
      </c>
      <c r="F19">
        <f t="shared" si="2"/>
        <v>3.972080775815113</v>
      </c>
      <c r="G19">
        <f t="shared" si="2"/>
        <v>3.946824760437179</v>
      </c>
      <c r="H19">
        <f t="shared" si="2"/>
        <v>3.911192361620685</v>
      </c>
      <c r="I19">
        <f t="shared" si="2"/>
        <v>3.8648965949427407</v>
      </c>
      <c r="J19">
        <f t="shared" si="2"/>
        <v>3.807548514411864</v>
      </c>
      <c r="K19">
        <f t="shared" si="2"/>
        <v>3.7386395506387067</v>
      </c>
      <c r="L19">
        <f t="shared" si="2"/>
        <v>3.6575163280018304</v>
      </c>
      <c r="M19">
        <f t="shared" si="2"/>
        <v>3.5633447334772415</v>
      </c>
      <c r="N19">
        <f t="shared" si="2"/>
        <v>3.4550579864309072</v>
      </c>
      <c r="O19">
        <f t="shared" si="2"/>
        <v>3.3312798876107657</v>
      </c>
      <c r="P19">
        <f t="shared" si="2"/>
        <v>3.190207781571601</v>
      </c>
      <c r="Q19">
        <f t="shared" si="2"/>
        <v>3.029426627201919</v>
      </c>
      <c r="R19">
        <f t="shared" si="2"/>
        <v>2.845597597974808</v>
      </c>
      <c r="S19">
        <f t="shared" si="2"/>
        <v>2.633899331713343</v>
      </c>
      <c r="T19">
        <f t="shared" si="2"/>
        <v>2.386928086390538</v>
      </c>
      <c r="U19">
        <f t="shared" si="2"/>
        <v>2.092229836705326</v>
      </c>
      <c r="V19">
        <f aca="true" t="shared" si="7" ref="V19:W27">+SQRT((1-V$13^2/$C19^2)*$D19^2)</f>
        <v>1.7255218600759588</v>
      </c>
      <c r="W19">
        <f t="shared" si="7"/>
        <v>1.2236934622690423</v>
      </c>
    </row>
    <row r="20" spans="2:23" ht="12.75">
      <c r="B20">
        <f t="shared" si="6"/>
        <v>6</v>
      </c>
      <c r="C20" s="3">
        <f t="shared" si="4"/>
        <v>19.89184863807283</v>
      </c>
      <c r="D20" s="3">
        <f t="shared" si="5"/>
        <v>3.9783697276145658</v>
      </c>
      <c r="E20">
        <f t="shared" si="1"/>
        <v>3.973339362501018</v>
      </c>
      <c r="F20">
        <f t="shared" si="2"/>
        <v>3.9582099097445544</v>
      </c>
      <c r="G20">
        <f t="shared" si="2"/>
        <v>3.932864819644834</v>
      </c>
      <c r="H20">
        <f t="shared" si="2"/>
        <v>3.8971047829895458</v>
      </c>
      <c r="I20">
        <f t="shared" si="2"/>
        <v>3.8506396468119415</v>
      </c>
      <c r="J20">
        <f t="shared" si="2"/>
        <v>3.793076019486031</v>
      </c>
      <c r="K20">
        <f t="shared" si="2"/>
        <v>3.7238992587877555</v>
      </c>
      <c r="L20">
        <f t="shared" si="2"/>
        <v>3.642447760723549</v>
      </c>
      <c r="M20">
        <f t="shared" si="2"/>
        <v>3.5478762224181377</v>
      </c>
      <c r="N20">
        <f t="shared" si="2"/>
        <v>3.43910245407141</v>
      </c>
      <c r="O20">
        <f t="shared" si="2"/>
        <v>3.314728599689573</v>
      </c>
      <c r="P20">
        <f t="shared" si="2"/>
        <v>3.1729206875684737</v>
      </c>
      <c r="Q20">
        <f t="shared" si="2"/>
        <v>3.0112166460751366</v>
      </c>
      <c r="R20">
        <f t="shared" si="2"/>
        <v>2.8262034055601863</v>
      </c>
      <c r="S20">
        <f t="shared" si="2"/>
        <v>2.612934306407261</v>
      </c>
      <c r="T20">
        <f t="shared" si="2"/>
        <v>2.363773612171858</v>
      </c>
      <c r="U20">
        <f t="shared" si="2"/>
        <v>2.0657748400055596</v>
      </c>
      <c r="V20">
        <f t="shared" si="7"/>
        <v>1.693347480465836</v>
      </c>
      <c r="W20">
        <f t="shared" si="7"/>
        <v>1.177890355508523</v>
      </c>
    </row>
    <row r="21" spans="2:23" ht="12.75">
      <c r="B21">
        <f t="shared" si="6"/>
        <v>7</v>
      </c>
      <c r="C21" s="3">
        <f t="shared" si="4"/>
        <v>19.809988446235902</v>
      </c>
      <c r="D21" s="3">
        <f t="shared" si="5"/>
        <v>3.96199768924718</v>
      </c>
      <c r="E21">
        <f t="shared" si="1"/>
        <v>3.9569465108338266</v>
      </c>
      <c r="F21">
        <f t="shared" si="2"/>
        <v>3.9417541386545145</v>
      </c>
      <c r="G21">
        <f t="shared" si="2"/>
        <v>3.916302553378632</v>
      </c>
      <c r="H21">
        <f t="shared" si="2"/>
        <v>3.8803898888642614</v>
      </c>
      <c r="I21">
        <f t="shared" si="2"/>
        <v>3.8337221716759804</v>
      </c>
      <c r="J21">
        <f t="shared" si="2"/>
        <v>3.7759006461505304</v>
      </c>
      <c r="K21">
        <f t="shared" si="2"/>
        <v>3.706403336065841</v>
      </c>
      <c r="L21">
        <f t="shared" si="2"/>
        <v>3.6245586889440755</v>
      </c>
      <c r="M21">
        <f t="shared" si="2"/>
        <v>3.529507853738251</v>
      </c>
      <c r="N21">
        <f t="shared" si="2"/>
        <v>3.420149951332543</v>
      </c>
      <c r="O21">
        <f t="shared" si="2"/>
        <v>3.295060802109727</v>
      </c>
      <c r="P21">
        <f t="shared" si="2"/>
        <v>3.152368266811477</v>
      </c>
      <c r="Q21">
        <f t="shared" si="2"/>
        <v>2.989552757453863</v>
      </c>
      <c r="R21">
        <f t="shared" si="2"/>
        <v>2.803110003121532</v>
      </c>
      <c r="S21">
        <f t="shared" si="2"/>
        <v>2.5879385018968275</v>
      </c>
      <c r="T21">
        <f t="shared" si="2"/>
        <v>2.336113372591321</v>
      </c>
      <c r="U21">
        <f t="shared" si="2"/>
        <v>2.0340662942981966</v>
      </c>
      <c r="V21">
        <f t="shared" si="7"/>
        <v>1.6545167541007246</v>
      </c>
      <c r="W21">
        <f t="shared" si="7"/>
        <v>1.121349940741068</v>
      </c>
    </row>
    <row r="22" spans="2:23" ht="12.75">
      <c r="B22">
        <f t="shared" si="6"/>
        <v>8</v>
      </c>
      <c r="C22" s="3">
        <f t="shared" si="4"/>
        <v>19.715112027072024</v>
      </c>
      <c r="D22" s="3">
        <f t="shared" si="5"/>
        <v>3.9430224054144043</v>
      </c>
      <c r="E22">
        <f t="shared" si="1"/>
        <v>3.937946887605265</v>
      </c>
      <c r="F22">
        <f t="shared" si="2"/>
        <v>3.922680931403929</v>
      </c>
      <c r="G22">
        <f t="shared" si="2"/>
        <v>3.8971047829895458</v>
      </c>
      <c r="H22">
        <f t="shared" si="2"/>
        <v>3.8610135572929547</v>
      </c>
      <c r="I22">
        <f t="shared" si="2"/>
        <v>3.814108767405565</v>
      </c>
      <c r="J22">
        <f t="shared" si="2"/>
        <v>3.755985315413253</v>
      </c>
      <c r="K22">
        <f t="shared" si="2"/>
        <v>3.6861125443480423</v>
      </c>
      <c r="L22">
        <f t="shared" si="2"/>
        <v>3.603807110487463</v>
      </c>
      <c r="M22">
        <f t="shared" si="2"/>
        <v>3.5081940780977323</v>
      </c>
      <c r="N22">
        <f t="shared" si="2"/>
        <v>3.398150333578548</v>
      </c>
      <c r="O22">
        <f t="shared" si="2"/>
        <v>3.272220299674213</v>
      </c>
      <c r="P22">
        <f t="shared" si="2"/>
        <v>3.1284861657996825</v>
      </c>
      <c r="Q22">
        <f t="shared" si="2"/>
        <v>2.9643592376093686</v>
      </c>
      <c r="R22">
        <f t="shared" si="2"/>
        <v>2.7762250790596927</v>
      </c>
      <c r="S22">
        <f t="shared" si="2"/>
        <v>2.558793795834279</v>
      </c>
      <c r="T22">
        <f t="shared" si="2"/>
        <v>2.3037850788647796</v>
      </c>
      <c r="U22">
        <f t="shared" si="2"/>
        <v>1.996853947989186</v>
      </c>
      <c r="V22">
        <f t="shared" si="7"/>
        <v>1.608547695780265</v>
      </c>
      <c r="W22">
        <f t="shared" si="7"/>
        <v>1.0523429524636916</v>
      </c>
    </row>
    <row r="23" spans="2:23" ht="12.75">
      <c r="B23">
        <f t="shared" si="6"/>
        <v>9</v>
      </c>
      <c r="C23" s="3">
        <f t="shared" si="4"/>
        <v>19.60703042890483</v>
      </c>
      <c r="D23" s="3">
        <f t="shared" si="5"/>
        <v>3.9214060857809656</v>
      </c>
      <c r="E23">
        <f t="shared" si="1"/>
        <v>3.916302553378632</v>
      </c>
      <c r="F23">
        <f t="shared" si="2"/>
        <v>3.9009518953199094</v>
      </c>
      <c r="G23">
        <f t="shared" si="2"/>
        <v>3.8752323400797524</v>
      </c>
      <c r="H23">
        <f t="shared" si="2"/>
        <v>3.838935489116741</v>
      </c>
      <c r="I23">
        <f t="shared" si="2"/>
        <v>3.7917575990033954</v>
      </c>
      <c r="J23">
        <f t="shared" si="2"/>
        <v>3.733286178368864</v>
      </c>
      <c r="K23">
        <f t="shared" si="2"/>
        <v>3.662980438058603</v>
      </c>
      <c r="L23">
        <f t="shared" si="2"/>
        <v>3.5801432498714343</v>
      </c>
      <c r="M23">
        <f t="shared" si="2"/>
        <v>3.483880837456987</v>
      </c>
      <c r="N23">
        <f t="shared" si="2"/>
        <v>3.373043979790361</v>
      </c>
      <c r="O23">
        <f t="shared" si="2"/>
        <v>3.2461401216829806</v>
      </c>
      <c r="P23">
        <f t="shared" si="2"/>
        <v>3.101197460594858</v>
      </c>
      <c r="Q23">
        <f t="shared" si="2"/>
        <v>2.9355452116429746</v>
      </c>
      <c r="R23">
        <f t="shared" si="2"/>
        <v>2.745437249255571</v>
      </c>
      <c r="S23">
        <f t="shared" si="2"/>
        <v>2.5253565470245976</v>
      </c>
      <c r="T23">
        <f t="shared" si="2"/>
        <v>2.2665889988262093</v>
      </c>
      <c r="U23">
        <f t="shared" si="2"/>
        <v>1.9538233516876593</v>
      </c>
      <c r="V23">
        <f t="shared" si="7"/>
        <v>1.5548072837493394</v>
      </c>
      <c r="W23">
        <f t="shared" si="7"/>
        <v>0.9682074620658527</v>
      </c>
    </row>
    <row r="24" spans="2:23" ht="12.75">
      <c r="B24">
        <f t="shared" si="6"/>
        <v>10</v>
      </c>
      <c r="C24" s="3">
        <f t="shared" si="4"/>
        <v>19.48552391494773</v>
      </c>
      <c r="D24" s="3">
        <f t="shared" si="5"/>
        <v>3.8971047829895458</v>
      </c>
      <c r="E24">
        <f t="shared" si="1"/>
        <v>3.8919693844633456</v>
      </c>
      <c r="F24">
        <f t="shared" si="2"/>
        <v>3.876522370579073</v>
      </c>
      <c r="G24">
        <f t="shared" si="2"/>
        <v>3.8506396468119415</v>
      </c>
      <c r="H24">
        <f t="shared" si="2"/>
        <v>3.8141087674055645</v>
      </c>
      <c r="I24">
        <f t="shared" si="2"/>
        <v>3.7666199290079687</v>
      </c>
      <c r="J24">
        <f t="shared" si="2"/>
        <v>3.707752107355614</v>
      </c>
      <c r="K24">
        <f t="shared" si="2"/>
        <v>3.636952802773222</v>
      </c>
      <c r="L24">
        <f t="shared" si="2"/>
        <v>3.553508926343086</v>
      </c>
      <c r="M24">
        <f t="shared" si="2"/>
        <v>3.45650483720188</v>
      </c>
      <c r="N24">
        <f t="shared" si="2"/>
        <v>3.3447609316063223</v>
      </c>
      <c r="O24">
        <f t="shared" si="2"/>
        <v>3.2167414707433353</v>
      </c>
      <c r="P24">
        <f t="shared" si="2"/>
        <v>3.070411322542958</v>
      </c>
      <c r="Q24">
        <f t="shared" si="2"/>
        <v>2.903002874542152</v>
      </c>
      <c r="R24">
        <f t="shared" si="2"/>
        <v>2.7106135264179576</v>
      </c>
      <c r="S24">
        <f t="shared" si="2"/>
        <v>2.487453655769288</v>
      </c>
      <c r="T24">
        <f t="shared" si="2"/>
        <v>2.2242809376515362</v>
      </c>
      <c r="U24">
        <f t="shared" si="2"/>
        <v>1.9045801872328707</v>
      </c>
      <c r="V24">
        <f t="shared" si="7"/>
        <v>1.49245626053161</v>
      </c>
      <c r="W24">
        <f t="shared" si="7"/>
        <v>0.8645378474075018</v>
      </c>
    </row>
    <row r="25" spans="2:23" ht="12.75">
      <c r="B25">
        <f t="shared" si="6"/>
        <v>11</v>
      </c>
      <c r="C25" s="3">
        <f t="shared" si="4"/>
        <v>19.35033958978498</v>
      </c>
      <c r="D25" s="3">
        <f t="shared" si="5"/>
        <v>3.8700679179569955</v>
      </c>
      <c r="E25">
        <f t="shared" si="1"/>
        <v>3.864896594942741</v>
      </c>
      <c r="F25">
        <f t="shared" si="2"/>
        <v>3.8493409422393325</v>
      </c>
      <c r="G25">
        <f t="shared" si="2"/>
        <v>3.8232742106210473</v>
      </c>
      <c r="H25">
        <f t="shared" si="2"/>
        <v>3.786479326445609</v>
      </c>
      <c r="I25">
        <f t="shared" si="2"/>
        <v>3.738639550638707</v>
      </c>
      <c r="J25">
        <f t="shared" si="2"/>
        <v>3.679324080534357</v>
      </c>
      <c r="K25">
        <f t="shared" si="2"/>
        <v>3.60796697457169</v>
      </c>
      <c r="L25">
        <f t="shared" si="2"/>
        <v>3.523836785323633</v>
      </c>
      <c r="M25">
        <f t="shared" si="2"/>
        <v>3.4259926575519675</v>
      </c>
      <c r="N25">
        <f t="shared" si="2"/>
        <v>3.313219837197646</v>
      </c>
      <c r="O25">
        <f t="shared" si="2"/>
        <v>3.183932425413579</v>
      </c>
      <c r="P25">
        <f t="shared" si="2"/>
        <v>3.0360213585546454</v>
      </c>
      <c r="Q25">
        <f t="shared" si="2"/>
        <v>2.8666052552801884</v>
      </c>
      <c r="R25">
        <f t="shared" si="2"/>
        <v>2.6715960940231955</v>
      </c>
      <c r="S25">
        <f t="shared" si="2"/>
        <v>2.4448774385641494</v>
      </c>
      <c r="T25">
        <f t="shared" si="2"/>
        <v>2.176562815450084</v>
      </c>
      <c r="U25">
        <f t="shared" si="2"/>
        <v>1.8486280560458872</v>
      </c>
      <c r="V25">
        <f t="shared" si="7"/>
        <v>1.4203611123936042</v>
      </c>
      <c r="W25">
        <f t="shared" si="7"/>
        <v>0.7330932339068458</v>
      </c>
    </row>
    <row r="26" spans="2:23" ht="12.75">
      <c r="B26">
        <f t="shared" si="6"/>
        <v>12</v>
      </c>
      <c r="C26" s="3">
        <f t="shared" si="4"/>
        <v>19.201188563211392</v>
      </c>
      <c r="D26" s="3">
        <f t="shared" si="5"/>
        <v>3.8402377126422778</v>
      </c>
      <c r="E26">
        <f t="shared" si="1"/>
        <v>3.8350261654387694</v>
      </c>
      <c r="F26">
        <f t="shared" si="2"/>
        <v>3.8193488567555587</v>
      </c>
      <c r="G26">
        <f t="shared" si="2"/>
        <v>3.793076019486031</v>
      </c>
      <c r="H26">
        <f t="shared" si="2"/>
        <v>3.7559853154132528</v>
      </c>
      <c r="I26">
        <f t="shared" si="2"/>
        <v>3.7077521073556134</v>
      </c>
      <c r="J26">
        <f t="shared" si="2"/>
        <v>3.647934441516184</v>
      </c>
      <c r="K26">
        <f t="shared" si="2"/>
        <v>3.5759510189039214</v>
      </c>
      <c r="L26">
        <f t="shared" si="2"/>
        <v>3.491049367969464</v>
      </c>
      <c r="M26">
        <f t="shared" si="2"/>
        <v>3.3922596730792876</v>
      </c>
      <c r="N26">
        <f t="shared" si="2"/>
        <v>3.2783266599898178</v>
      </c>
      <c r="O26">
        <f t="shared" si="2"/>
        <v>3.1476063428580128</v>
      </c>
      <c r="P26">
        <f t="shared" si="2"/>
        <v>2.9979035490822574</v>
      </c>
      <c r="Q26">
        <f t="shared" si="2"/>
        <v>2.8262034055601863</v>
      </c>
      <c r="R26">
        <f t="shared" si="2"/>
        <v>2.6281981830904604</v>
      </c>
      <c r="S26">
        <f t="shared" si="2"/>
        <v>2.397378920738229</v>
      </c>
      <c r="T26">
        <f t="shared" si="2"/>
        <v>2.1230698739325558</v>
      </c>
      <c r="U26">
        <f t="shared" si="2"/>
        <v>1.785336295939787</v>
      </c>
      <c r="V26">
        <f t="shared" si="7"/>
        <v>1.3369464049093363</v>
      </c>
      <c r="W26">
        <f t="shared" si="7"/>
        <v>0.5544598178407523</v>
      </c>
    </row>
    <row r="27" spans="2:23" ht="12.75">
      <c r="B27">
        <f t="shared" si="6"/>
        <v>13</v>
      </c>
      <c r="C27" s="3">
        <f t="shared" si="4"/>
        <v>19.037742572059322</v>
      </c>
      <c r="D27" s="3">
        <f t="shared" si="5"/>
        <v>3.8075485144118644</v>
      </c>
      <c r="E27">
        <f t="shared" si="1"/>
        <v>3.8022921625777255</v>
      </c>
      <c r="F27">
        <f t="shared" si="2"/>
        <v>3.786479326445609</v>
      </c>
      <c r="G27">
        <f t="shared" si="2"/>
        <v>3.7599768203540824</v>
      </c>
      <c r="H27">
        <f t="shared" si="2"/>
        <v>3.7225563380021525</v>
      </c>
      <c r="I27">
        <f t="shared" si="2"/>
        <v>3.6738842781993006</v>
      </c>
      <c r="J27">
        <f t="shared" si="2"/>
        <v>3.6135060107325123</v>
      </c>
      <c r="K27">
        <f t="shared" si="2"/>
        <v>3.5408227419061795</v>
      </c>
      <c r="L27">
        <f t="shared" si="2"/>
        <v>3.4550579864309072</v>
      </c>
      <c r="M27">
        <f t="shared" si="2"/>
        <v>3.3552087400935275</v>
      </c>
      <c r="N27">
        <f t="shared" si="2"/>
        <v>3.239973100135246</v>
      </c>
      <c r="O27">
        <f t="shared" si="2"/>
        <v>3.1076398905922153</v>
      </c>
      <c r="P27">
        <f t="shared" si="2"/>
        <v>2.955913681013029</v>
      </c>
      <c r="Q27">
        <f t="shared" si="2"/>
        <v>2.781622851789939</v>
      </c>
      <c r="R27">
        <f t="shared" si="2"/>
        <v>2.5801987693974264</v>
      </c>
      <c r="S27">
        <f t="shared" si="2"/>
        <v>2.34465897085269</v>
      </c>
      <c r="T27">
        <f t="shared" si="2"/>
        <v>2.0633530210800077</v>
      </c>
      <c r="U27">
        <f t="shared" si="2"/>
        <v>1.7138919713914278</v>
      </c>
      <c r="V27">
        <f t="shared" si="7"/>
        <v>1.2399297115562622</v>
      </c>
      <c r="W27">
        <f t="shared" si="7"/>
        <v>0.2396365781761953</v>
      </c>
    </row>
    <row r="28" spans="2:22" ht="12.75">
      <c r="B28">
        <f t="shared" si="6"/>
        <v>14</v>
      </c>
      <c r="C28" s="3">
        <f t="shared" si="4"/>
        <v>18.859629960314702</v>
      </c>
      <c r="D28" s="3">
        <f t="shared" si="5"/>
        <v>3.77192599206294</v>
      </c>
      <c r="E28">
        <f t="shared" si="1"/>
        <v>3.7666199290079687</v>
      </c>
      <c r="F28">
        <f t="shared" si="2"/>
        <v>3.750656701112486</v>
      </c>
      <c r="G28">
        <f t="shared" si="2"/>
        <v>3.7238992587877555</v>
      </c>
      <c r="H28">
        <f t="shared" si="2"/>
        <v>3.686112544348042</v>
      </c>
      <c r="I28">
        <f t="shared" si="2"/>
        <v>3.636952802773222</v>
      </c>
      <c r="J28">
        <f t="shared" si="2"/>
        <v>3.5759510189039214</v>
      </c>
      <c r="K28">
        <f t="shared" si="2"/>
        <v>3.5024884995671286</v>
      </c>
      <c r="L28">
        <f t="shared" si="2"/>
        <v>3.415761363093153</v>
      </c>
      <c r="M28">
        <f t="shared" si="2"/>
        <v>3.314728599689573</v>
      </c>
      <c r="N28">
        <f t="shared" si="2"/>
        <v>3.1980346604750856</v>
      </c>
      <c r="O28">
        <f t="shared" si="2"/>
        <v>3.063890613191012</v>
      </c>
      <c r="P28">
        <f t="shared" si="2"/>
        <v>2.909884136799951</v>
      </c>
      <c r="Q28">
        <f t="shared" si="2"/>
        <v>2.7326590877019394</v>
      </c>
      <c r="R28">
        <f t="shared" si="2"/>
        <v>2.5273356899311965</v>
      </c>
      <c r="S28">
        <f t="shared" si="2"/>
        <v>2.2863564222579114</v>
      </c>
      <c r="T28">
        <f t="shared" si="2"/>
        <v>1.9968539479891854</v>
      </c>
      <c r="U28">
        <f t="shared" si="2"/>
        <v>1.6332255476816413</v>
      </c>
      <c r="V28">
        <f>+SQRT((1-V$13^2/$C28^2)*$D28^2)</f>
        <v>1.125800022028778</v>
      </c>
    </row>
    <row r="29" spans="2:22" ht="12.75">
      <c r="B29">
        <f t="shared" si="6"/>
        <v>15</v>
      </c>
      <c r="C29" s="3">
        <f t="shared" si="4"/>
        <v>18.66643089184432</v>
      </c>
      <c r="D29" s="3">
        <f t="shared" si="5"/>
        <v>3.733286178368864</v>
      </c>
      <c r="E29">
        <f t="shared" si="1"/>
        <v>3.7279251185612616</v>
      </c>
      <c r="F29">
        <f t="shared" si="2"/>
        <v>3.71179548057271</v>
      </c>
      <c r="G29">
        <f t="shared" si="2"/>
        <v>3.684755852102008</v>
      </c>
      <c r="H29">
        <f t="shared" si="2"/>
        <v>3.6465635452573695</v>
      </c>
      <c r="I29">
        <f t="shared" si="2"/>
        <v>3.59686331261003</v>
      </c>
      <c r="J29">
        <f t="shared" si="2"/>
        <v>3.535169824718467</v>
      </c>
      <c r="K29">
        <f t="shared" si="2"/>
        <v>3.4608417602658457</v>
      </c>
      <c r="L29">
        <f t="shared" si="2"/>
        <v>3.373043979790361</v>
      </c>
      <c r="M29">
        <f t="shared" si="2"/>
        <v>3.2706919282622744</v>
      </c>
      <c r="N29">
        <f t="shared" si="2"/>
        <v>3.1523682668114774</v>
      </c>
      <c r="O29">
        <f t="shared" si="2"/>
        <v>3.0161939078248925</v>
      </c>
      <c r="P29">
        <f t="shared" si="2"/>
        <v>2.859619850539578</v>
      </c>
      <c r="Q29">
        <f t="shared" si="2"/>
        <v>2.6790717962757173</v>
      </c>
      <c r="R29">
        <f t="shared" si="2"/>
        <v>2.4692965981428796</v>
      </c>
      <c r="S29">
        <f t="shared" si="2"/>
        <v>2.2220318831195915</v>
      </c>
      <c r="T29">
        <f t="shared" si="2"/>
        <v>1.9228691296081486</v>
      </c>
      <c r="U29">
        <f aca="true" t="shared" si="8" ref="U29:U35">+SQRT((1-U$13^2/$C29^2)*$D29^2)</f>
        <v>1.5418902975244377</v>
      </c>
      <c r="V29">
        <f>+SQRT((1-V$13^2/$C29^2)*$D29^2)</f>
        <v>0.9886484155654122</v>
      </c>
    </row>
    <row r="30" spans="2:22" ht="12.75">
      <c r="B30">
        <f t="shared" si="6"/>
        <v>16</v>
      </c>
      <c r="C30" s="3">
        <f t="shared" si="4"/>
        <v>18.457671636476793</v>
      </c>
      <c r="D30" s="3">
        <f t="shared" si="5"/>
        <v>3.6915343272953587</v>
      </c>
      <c r="E30">
        <f t="shared" si="1"/>
        <v>3.6861125443480423</v>
      </c>
      <c r="F30">
        <f aca="true" t="shared" si="9" ref="F30:T30">+SQRT((1-F$13^2/$C30^2)*$D30^2)</f>
        <v>3.669799134775635</v>
      </c>
      <c r="G30">
        <f t="shared" si="9"/>
        <v>3.6424477607235493</v>
      </c>
      <c r="H30">
        <f t="shared" si="9"/>
        <v>3.603807110487463</v>
      </c>
      <c r="I30">
        <f t="shared" si="9"/>
        <v>3.5535089263430866</v>
      </c>
      <c r="J30">
        <f t="shared" si="9"/>
        <v>3.491049367969464</v>
      </c>
      <c r="K30">
        <f t="shared" si="9"/>
        <v>3.415761363093153</v>
      </c>
      <c r="L30">
        <f t="shared" si="9"/>
        <v>3.326774066509476</v>
      </c>
      <c r="M30">
        <f t="shared" si="9"/>
        <v>3.22295294560749</v>
      </c>
      <c r="N30">
        <f t="shared" si="9"/>
        <v>3.1028093221466246</v>
      </c>
      <c r="O30">
        <f t="shared" si="9"/>
        <v>2.964359237609368</v>
      </c>
      <c r="P30">
        <f t="shared" si="9"/>
        <v>2.804893169017315</v>
      </c>
      <c r="Q30">
        <f t="shared" si="9"/>
        <v>2.620577358064439</v>
      </c>
      <c r="R30">
        <f t="shared" si="9"/>
        <v>2.4057069001854727</v>
      </c>
      <c r="S30">
        <f t="shared" si="9"/>
        <v>2.1511452042110024</v>
      </c>
      <c r="T30">
        <f t="shared" si="9"/>
        <v>1.8404960444401928</v>
      </c>
      <c r="U30">
        <f t="shared" si="8"/>
        <v>1.4378545439647212</v>
      </c>
      <c r="V30">
        <f>+SQRT((1-V$13^2/$C30^2)*$D30^2)</f>
        <v>0.816961253426376</v>
      </c>
    </row>
    <row r="31" spans="2:22" ht="12.75">
      <c r="B31">
        <f t="shared" si="6"/>
        <v>17</v>
      </c>
      <c r="C31" s="3">
        <f t="shared" si="4"/>
        <v>18.23281772628685</v>
      </c>
      <c r="D31" s="3">
        <f t="shared" si="5"/>
        <v>3.6465635452573695</v>
      </c>
      <c r="E31">
        <f aca="true" t="shared" si="10" ref="E31:T46">+SQRT((1-E$13^2/$C31^2)*$D31^2)</f>
        <v>3.6410747986823884</v>
      </c>
      <c r="F31">
        <f t="shared" si="10"/>
        <v>3.6245586889440755</v>
      </c>
      <c r="G31">
        <f t="shared" si="10"/>
        <v>3.59686331261003</v>
      </c>
      <c r="H31">
        <f t="shared" si="10"/>
        <v>3.5577276019391926</v>
      </c>
      <c r="I31">
        <f t="shared" si="10"/>
        <v>3.506768553754296</v>
      </c>
      <c r="J31">
        <f t="shared" si="10"/>
        <v>3.4434612949182393</v>
      </c>
      <c r="K31">
        <f t="shared" si="10"/>
        <v>3.3671093967378005</v>
      </c>
      <c r="L31">
        <f t="shared" si="10"/>
        <v>3.2768011367185523</v>
      </c>
      <c r="M31">
        <f t="shared" si="10"/>
        <v>3.171344460887211</v>
      </c>
      <c r="N31">
        <f t="shared" si="10"/>
        <v>3.0491680323655497</v>
      </c>
      <c r="O31">
        <f t="shared" si="10"/>
        <v>2.9081653477063503</v>
      </c>
      <c r="P31">
        <f t="shared" si="10"/>
        <v>2.745437249255571</v>
      </c>
      <c r="Q31">
        <f t="shared" si="10"/>
        <v>2.556839003457198</v>
      </c>
      <c r="R31">
        <f t="shared" si="10"/>
        <v>2.3361133725913215</v>
      </c>
      <c r="S31">
        <f t="shared" si="10"/>
        <v>2.073023321045858</v>
      </c>
      <c r="T31">
        <f t="shared" si="10"/>
        <v>1.748549595979479</v>
      </c>
      <c r="U31">
        <f t="shared" si="8"/>
        <v>1.3181144448036368</v>
      </c>
      <c r="V31">
        <f>+SQRT((1-V$13^2/$C31^2)*$D31^2)</f>
        <v>0.5808835422010158</v>
      </c>
    </row>
    <row r="32" spans="2:21" ht="12.75">
      <c r="B32">
        <f t="shared" si="6"/>
        <v>18</v>
      </c>
      <c r="C32" s="3">
        <f t="shared" si="4"/>
        <v>17.991265720899126</v>
      </c>
      <c r="D32" s="3">
        <f t="shared" si="5"/>
        <v>3.5982531441798247</v>
      </c>
      <c r="E32">
        <f t="shared" si="10"/>
        <v>3.592690591965859</v>
      </c>
      <c r="F32">
        <f t="shared" si="10"/>
        <v>3.5759510189039214</v>
      </c>
      <c r="G32">
        <f t="shared" si="10"/>
        <v>3.5478762224181373</v>
      </c>
      <c r="H32">
        <f t="shared" si="10"/>
        <v>3.508194078097732</v>
      </c>
      <c r="I32">
        <f t="shared" si="10"/>
        <v>3.45650483720188</v>
      </c>
      <c r="J32">
        <f t="shared" si="10"/>
        <v>3.3922596730792876</v>
      </c>
      <c r="K32">
        <f t="shared" si="10"/>
        <v>3.314728599689573</v>
      </c>
      <c r="L32">
        <f t="shared" si="10"/>
        <v>3.2229529456074895</v>
      </c>
      <c r="M32">
        <f t="shared" si="10"/>
        <v>3.115674195033877</v>
      </c>
      <c r="N32">
        <f t="shared" si="10"/>
        <v>2.9912247808548247</v>
      </c>
      <c r="O32">
        <f t="shared" si="10"/>
        <v>2.847354155984112</v>
      </c>
      <c r="P32">
        <f t="shared" si="10"/>
        <v>2.6809374646940194</v>
      </c>
      <c r="Q32">
        <f t="shared" si="10"/>
        <v>2.487453655769288</v>
      </c>
      <c r="R32">
        <f t="shared" si="10"/>
        <v>2.2599614354231794</v>
      </c>
      <c r="S32">
        <f t="shared" si="10"/>
        <v>1.9868129478136576</v>
      </c>
      <c r="T32">
        <f t="shared" si="10"/>
        <v>1.6454256864410488</v>
      </c>
      <c r="U32">
        <f t="shared" si="8"/>
        <v>1.1778903555085243</v>
      </c>
    </row>
    <row r="33" spans="2:21" ht="12.75">
      <c r="B33">
        <f t="shared" si="6"/>
        <v>19</v>
      </c>
      <c r="C33" s="3">
        <f t="shared" si="4"/>
        <v>17.732333242977358</v>
      </c>
      <c r="D33" s="3">
        <f t="shared" si="5"/>
        <v>3.5464666485954712</v>
      </c>
      <c r="E33">
        <f t="shared" si="10"/>
        <v>3.5408227419061795</v>
      </c>
      <c r="F33">
        <f t="shared" si="10"/>
        <v>3.5238367853236325</v>
      </c>
      <c r="G33">
        <f t="shared" si="10"/>
        <v>3.4953434294214913</v>
      </c>
      <c r="H33">
        <f t="shared" si="10"/>
        <v>3.4550579864309072</v>
      </c>
      <c r="I33">
        <f t="shared" si="10"/>
        <v>3.40256163641454</v>
      </c>
      <c r="J33">
        <f t="shared" si="10"/>
        <v>3.337278185827486</v>
      </c>
      <c r="K33">
        <f t="shared" si="10"/>
        <v>3.2584391492860494</v>
      </c>
      <c r="L33">
        <f t="shared" si="10"/>
        <v>3.165031704359372</v>
      </c>
      <c r="M33">
        <f t="shared" si="10"/>
        <v>3.0557201589150784</v>
      </c>
      <c r="N33">
        <f t="shared" si="10"/>
        <v>2.9287242426694924</v>
      </c>
      <c r="O33">
        <f t="shared" si="10"/>
        <v>2.781622851789939</v>
      </c>
      <c r="P33">
        <f t="shared" si="10"/>
        <v>2.6110200477208125</v>
      </c>
      <c r="Q33">
        <f t="shared" si="10"/>
        <v>2.4119340143544545</v>
      </c>
      <c r="R33">
        <f t="shared" si="10"/>
        <v>2.1765628154500836</v>
      </c>
      <c r="S33">
        <f t="shared" si="10"/>
        <v>1.8914083878422436</v>
      </c>
      <c r="T33">
        <f t="shared" si="10"/>
        <v>1.5288641828494756</v>
      </c>
      <c r="U33">
        <f t="shared" si="8"/>
        <v>1.0086752151212972</v>
      </c>
    </row>
    <row r="34" spans="2:21" ht="12.75">
      <c r="B34">
        <f t="shared" si="6"/>
        <v>20</v>
      </c>
      <c r="C34" s="3">
        <f t="shared" si="4"/>
        <v>17.455246839847323</v>
      </c>
      <c r="D34" s="3">
        <f t="shared" si="5"/>
        <v>3.491049367969464</v>
      </c>
      <c r="E34">
        <f t="shared" si="10"/>
        <v>3.485315723087364</v>
      </c>
      <c r="F34">
        <f t="shared" si="10"/>
        <v>3.4680579132419336</v>
      </c>
      <c r="G34">
        <f t="shared" si="10"/>
        <v>3.43910245407141</v>
      </c>
      <c r="H34">
        <f t="shared" si="10"/>
        <v>3.3981503335785477</v>
      </c>
      <c r="I34">
        <f t="shared" si="10"/>
        <v>3.3447609316063223</v>
      </c>
      <c r="J34">
        <f t="shared" si="10"/>
        <v>3.2783266599898178</v>
      </c>
      <c r="K34">
        <f t="shared" si="10"/>
        <v>3.1980346604750856</v>
      </c>
      <c r="L34">
        <f t="shared" si="10"/>
        <v>3.1028093221466246</v>
      </c>
      <c r="M34">
        <f t="shared" si="10"/>
        <v>2.9912247808548247</v>
      </c>
      <c r="N34">
        <f t="shared" si="10"/>
        <v>2.8613678004758487</v>
      </c>
      <c r="O34">
        <f t="shared" si="10"/>
        <v>2.7106135264179576</v>
      </c>
      <c r="P34">
        <f t="shared" si="10"/>
        <v>2.535236811345243</v>
      </c>
      <c r="Q34">
        <f t="shared" si="10"/>
        <v>2.3296836028954653</v>
      </c>
      <c r="R34">
        <f t="shared" si="10"/>
        <v>2.0850481264469645</v>
      </c>
      <c r="S34">
        <f t="shared" si="10"/>
        <v>1.7853362959397863</v>
      </c>
      <c r="T34">
        <f t="shared" si="10"/>
        <v>1.3955019489774987</v>
      </c>
      <c r="U34">
        <f t="shared" si="8"/>
        <v>0.7921020701904503</v>
      </c>
    </row>
    <row r="35" spans="2:21" ht="12.75">
      <c r="B35">
        <f t="shared" si="6"/>
        <v>21</v>
      </c>
      <c r="C35" s="3">
        <f t="shared" si="4"/>
        <v>17.159127082692756</v>
      </c>
      <c r="D35" s="3">
        <f t="shared" si="5"/>
        <v>3.4318254165385507</v>
      </c>
      <c r="E35">
        <f t="shared" si="10"/>
        <v>3.425992657551968</v>
      </c>
      <c r="F35">
        <f t="shared" si="10"/>
        <v>3.4084344924906502</v>
      </c>
      <c r="G35">
        <f t="shared" si="10"/>
        <v>3.3789681397728506</v>
      </c>
      <c r="H35">
        <f t="shared" si="10"/>
        <v>3.3372781858274863</v>
      </c>
      <c r="I35">
        <f t="shared" si="10"/>
        <v>3.2828989764535854</v>
      </c>
      <c r="J35">
        <f t="shared" si="10"/>
        <v>3.215186727019132</v>
      </c>
      <c r="K35">
        <f t="shared" si="10"/>
        <v>3.1332771485459117</v>
      </c>
      <c r="L35">
        <f t="shared" si="10"/>
        <v>3.036021358554646</v>
      </c>
      <c r="M35">
        <f t="shared" si="10"/>
        <v>2.921887350600635</v>
      </c>
      <c r="N35">
        <f t="shared" si="10"/>
        <v>2.788803630519725</v>
      </c>
      <c r="O35">
        <f t="shared" si="10"/>
        <v>2.633899331713344</v>
      </c>
      <c r="P35">
        <f t="shared" si="10"/>
        <v>2.453044167886098</v>
      </c>
      <c r="Q35">
        <f t="shared" si="10"/>
        <v>2.2399610910906462</v>
      </c>
      <c r="R35">
        <f t="shared" si="10"/>
        <v>1.984294758749314</v>
      </c>
      <c r="S35">
        <f t="shared" si="10"/>
        <v>1.6665610368660366</v>
      </c>
      <c r="T35">
        <f t="shared" si="10"/>
        <v>1.2399297115562635</v>
      </c>
      <c r="U35">
        <f t="shared" si="8"/>
        <v>0.4662892767370914</v>
      </c>
    </row>
    <row r="36" spans="2:20" ht="12.75">
      <c r="B36">
        <f t="shared" si="6"/>
        <v>22</v>
      </c>
      <c r="C36" s="3">
        <f t="shared" si="4"/>
        <v>16.842970113373706</v>
      </c>
      <c r="D36" s="3">
        <f t="shared" si="5"/>
        <v>3.3685940226747415</v>
      </c>
      <c r="E36">
        <f t="shared" si="10"/>
        <v>3.3626515861147426</v>
      </c>
      <c r="F36">
        <f t="shared" si="10"/>
        <v>3.3447609316063227</v>
      </c>
      <c r="G36">
        <f t="shared" si="10"/>
        <v>3.314728599689573</v>
      </c>
      <c r="H36">
        <f t="shared" si="10"/>
        <v>3.272220299674213</v>
      </c>
      <c r="I36">
        <f t="shared" si="10"/>
        <v>3.2167414707433353</v>
      </c>
      <c r="J36">
        <f t="shared" si="10"/>
        <v>3.1476063428580128</v>
      </c>
      <c r="K36">
        <f t="shared" si="10"/>
        <v>3.063890613191012</v>
      </c>
      <c r="L36">
        <f t="shared" si="10"/>
        <v>2.964359237609368</v>
      </c>
      <c r="M36">
        <f t="shared" si="10"/>
        <v>2.847354155984112</v>
      </c>
      <c r="N36">
        <f t="shared" si="10"/>
        <v>2.7106135264179576</v>
      </c>
      <c r="O36">
        <f t="shared" si="10"/>
        <v>2.5509656386552906</v>
      </c>
      <c r="P36">
        <f t="shared" si="10"/>
        <v>2.363773612171858</v>
      </c>
      <c r="Q36">
        <f t="shared" si="10"/>
        <v>2.141827651703095</v>
      </c>
      <c r="R36">
        <f t="shared" si="10"/>
        <v>1.8728122408826773</v>
      </c>
      <c r="S36">
        <f t="shared" si="10"/>
        <v>1.5321310941300015</v>
      </c>
      <c r="T36">
        <f t="shared" si="10"/>
        <v>1.0523429524636894</v>
      </c>
    </row>
    <row r="37" spans="2:20" ht="12.75">
      <c r="B37">
        <f t="shared" si="6"/>
        <v>23</v>
      </c>
      <c r="C37" s="3">
        <f t="shared" si="4"/>
        <v>16.505624563766133</v>
      </c>
      <c r="D37" s="3">
        <f t="shared" si="5"/>
        <v>3.301124912753226</v>
      </c>
      <c r="E37">
        <f t="shared" si="10"/>
        <v>3.295060802109727</v>
      </c>
      <c r="F37">
        <f t="shared" si="10"/>
        <v>3.276801136718552</v>
      </c>
      <c r="G37">
        <f t="shared" si="10"/>
        <v>3.2461401216829806</v>
      </c>
      <c r="H37">
        <f t="shared" si="10"/>
        <v>3.2027216066339568</v>
      </c>
      <c r="I37">
        <f t="shared" si="10"/>
        <v>3.146017433136694</v>
      </c>
      <c r="J37">
        <f t="shared" si="10"/>
        <v>3.0752927811185713</v>
      </c>
      <c r="K37">
        <f t="shared" si="10"/>
        <v>2.989552757453863</v>
      </c>
      <c r="L37">
        <f t="shared" si="10"/>
        <v>2.8874600758452047</v>
      </c>
      <c r="M37">
        <f t="shared" si="10"/>
        <v>2.767205393461063</v>
      </c>
      <c r="N37">
        <f t="shared" si="10"/>
        <v>2.626295049989623</v>
      </c>
      <c r="O37">
        <f t="shared" si="10"/>
        <v>2.461183798418963</v>
      </c>
      <c r="P37">
        <f t="shared" si="10"/>
        <v>2.266588998826209</v>
      </c>
      <c r="Q37">
        <f t="shared" si="10"/>
        <v>2.034066294298196</v>
      </c>
      <c r="R37">
        <f t="shared" si="10"/>
        <v>1.7485495959794781</v>
      </c>
      <c r="S37">
        <f t="shared" si="10"/>
        <v>1.3774707581651224</v>
      </c>
      <c r="T37">
        <f t="shared" si="10"/>
        <v>0.8108179139609569</v>
      </c>
    </row>
    <row r="38" spans="2:20" ht="12.75">
      <c r="B38">
        <f t="shared" si="6"/>
        <v>24</v>
      </c>
      <c r="C38" s="3">
        <f t="shared" si="4"/>
        <v>16.145762361684874</v>
      </c>
      <c r="D38" s="3">
        <f t="shared" si="5"/>
        <v>3.229152472336975</v>
      </c>
      <c r="E38">
        <f t="shared" si="10"/>
        <v>3.22295294560749</v>
      </c>
      <c r="F38">
        <f t="shared" si="10"/>
        <v>3.2042823985410522</v>
      </c>
      <c r="G38">
        <f t="shared" si="10"/>
        <v>3.1729206875684737</v>
      </c>
      <c r="H38">
        <f t="shared" si="10"/>
        <v>3.1284861657996825</v>
      </c>
      <c r="I38">
        <f t="shared" si="10"/>
        <v>3.070411322542958</v>
      </c>
      <c r="J38">
        <f t="shared" si="10"/>
        <v>2.997903549082258</v>
      </c>
      <c r="K38">
        <f t="shared" si="10"/>
        <v>2.9098841367999513</v>
      </c>
      <c r="L38">
        <f t="shared" si="10"/>
        <v>2.804893169017315</v>
      </c>
      <c r="M38">
        <f t="shared" si="10"/>
        <v>2.6809374646940194</v>
      </c>
      <c r="N38">
        <f t="shared" si="10"/>
        <v>2.5352368113452433</v>
      </c>
      <c r="O38">
        <f t="shared" si="10"/>
        <v>2.3637736121718587</v>
      </c>
      <c r="P38">
        <f t="shared" si="10"/>
        <v>2.160422571998357</v>
      </c>
      <c r="Q38">
        <f t="shared" si="10"/>
        <v>1.9150523986564953</v>
      </c>
      <c r="R38">
        <f t="shared" si="10"/>
        <v>1.6085476957802638</v>
      </c>
      <c r="S38">
        <f t="shared" si="10"/>
        <v>1.194749216195598</v>
      </c>
      <c r="T38">
        <f t="shared" si="10"/>
        <v>0.43292688712991173</v>
      </c>
    </row>
    <row r="39" spans="2:19" ht="12.75">
      <c r="B39">
        <f t="shared" si="6"/>
        <v>25</v>
      </c>
      <c r="C39" s="3">
        <f t="shared" si="4"/>
        <v>15.761841334057387</v>
      </c>
      <c r="D39" s="3">
        <f t="shared" si="5"/>
        <v>3.152368266811477</v>
      </c>
      <c r="E39">
        <f t="shared" si="10"/>
        <v>3.146017433136694</v>
      </c>
      <c r="F39">
        <f t="shared" si="10"/>
        <v>3.126887540286666</v>
      </c>
      <c r="G39">
        <f t="shared" si="10"/>
        <v>3.094741619198604</v>
      </c>
      <c r="H39">
        <f t="shared" si="10"/>
        <v>3.0491680323655492</v>
      </c>
      <c r="I39">
        <f t="shared" si="10"/>
        <v>2.989552757453863</v>
      </c>
      <c r="J39">
        <f t="shared" si="10"/>
        <v>2.915034423398804</v>
      </c>
      <c r="K39">
        <f t="shared" si="10"/>
        <v>2.824433693610101</v>
      </c>
      <c r="L39">
        <f t="shared" si="10"/>
        <v>2.7161416917384846</v>
      </c>
      <c r="M39">
        <f t="shared" si="10"/>
        <v>2.5879385018968275</v>
      </c>
      <c r="N39">
        <f t="shared" si="10"/>
        <v>2.4366833379821835</v>
      </c>
      <c r="O39">
        <f t="shared" si="10"/>
        <v>2.25774792428207</v>
      </c>
      <c r="P39">
        <f t="shared" si="10"/>
        <v>2.0438751648767584</v>
      </c>
      <c r="Q39">
        <f t="shared" si="10"/>
        <v>1.782533503079254</v>
      </c>
      <c r="R39">
        <f t="shared" si="10"/>
        <v>1.448249180769662</v>
      </c>
      <c r="S39">
        <f t="shared" si="10"/>
        <v>0.9682074620658514</v>
      </c>
    </row>
    <row r="40" spans="2:19" ht="12.75">
      <c r="B40">
        <f t="shared" si="6"/>
        <v>26</v>
      </c>
      <c r="C40" s="3">
        <f t="shared" si="4"/>
        <v>15.35205661271479</v>
      </c>
      <c r="D40" s="3">
        <f t="shared" si="5"/>
        <v>3.0704113225429577</v>
      </c>
      <c r="E40">
        <f t="shared" si="10"/>
        <v>3.0638906131910115</v>
      </c>
      <c r="F40">
        <f t="shared" si="10"/>
        <v>3.044244682938609</v>
      </c>
      <c r="G40">
        <f t="shared" si="10"/>
        <v>3.0112166460751366</v>
      </c>
      <c r="H40">
        <f t="shared" si="10"/>
        <v>2.964359237609368</v>
      </c>
      <c r="I40">
        <f t="shared" si="10"/>
        <v>2.9030028745421514</v>
      </c>
      <c r="J40">
        <f t="shared" si="10"/>
        <v>2.8262034055601863</v>
      </c>
      <c r="K40">
        <f t="shared" si="10"/>
        <v>2.7326590877019394</v>
      </c>
      <c r="L40">
        <f t="shared" si="10"/>
        <v>2.620577358064439</v>
      </c>
      <c r="M40">
        <f t="shared" si="10"/>
        <v>2.487453655769288</v>
      </c>
      <c r="N40">
        <f t="shared" si="10"/>
        <v>2.329683602895465</v>
      </c>
      <c r="O40">
        <f t="shared" si="10"/>
        <v>2.141827651703095</v>
      </c>
      <c r="P40">
        <f t="shared" si="10"/>
        <v>1.9150523986564951</v>
      </c>
      <c r="Q40">
        <f t="shared" si="10"/>
        <v>1.6332255476816409</v>
      </c>
      <c r="R40">
        <f t="shared" si="10"/>
        <v>1.259930827307593</v>
      </c>
      <c r="S40">
        <f t="shared" si="10"/>
        <v>0.6537780124782389</v>
      </c>
    </row>
    <row r="41" spans="2:18" ht="12.75">
      <c r="B41">
        <f t="shared" si="6"/>
        <v>27</v>
      </c>
      <c r="C41" s="3">
        <f t="shared" si="4"/>
        <v>14.914276457139982</v>
      </c>
      <c r="D41" s="3">
        <f t="shared" si="5"/>
        <v>2.982855291427996</v>
      </c>
      <c r="E41">
        <f t="shared" si="10"/>
        <v>2.976142753565426</v>
      </c>
      <c r="F41">
        <f t="shared" si="10"/>
        <v>2.9559136810130293</v>
      </c>
      <c r="G41">
        <f t="shared" si="10"/>
        <v>2.921887350600635</v>
      </c>
      <c r="H41">
        <f t="shared" si="10"/>
        <v>2.873573679166761</v>
      </c>
      <c r="I41">
        <f t="shared" si="10"/>
        <v>2.8102358779291103</v>
      </c>
      <c r="J41">
        <f t="shared" si="10"/>
        <v>2.7308287550851658</v>
      </c>
      <c r="K41">
        <f t="shared" si="10"/>
        <v>2.6338993317133435</v>
      </c>
      <c r="L41">
        <f t="shared" si="10"/>
        <v>2.517424415866343</v>
      </c>
      <c r="M41">
        <f t="shared" si="10"/>
        <v>2.378534357456288</v>
      </c>
      <c r="N41">
        <f t="shared" si="10"/>
        <v>2.2130128082774387</v>
      </c>
      <c r="O41">
        <f t="shared" si="10"/>
        <v>2.014305262267861</v>
      </c>
      <c r="P41">
        <f t="shared" si="10"/>
        <v>1.7712779820231486</v>
      </c>
      <c r="Q41">
        <f t="shared" si="10"/>
        <v>1.4619937378798848</v>
      </c>
      <c r="R41">
        <f t="shared" si="10"/>
        <v>1.0283120584725227</v>
      </c>
    </row>
    <row r="42" spans="2:18" ht="12.75">
      <c r="B42">
        <f t="shared" si="6"/>
        <v>28</v>
      </c>
      <c r="C42" s="3">
        <f t="shared" si="4"/>
        <v>14.445955912988241</v>
      </c>
      <c r="D42" s="3">
        <f t="shared" si="5"/>
        <v>2.889191182597648</v>
      </c>
      <c r="E42">
        <f t="shared" si="10"/>
        <v>2.8822605173023477</v>
      </c>
      <c r="F42">
        <f t="shared" si="10"/>
        <v>2.8613678004758487</v>
      </c>
      <c r="G42">
        <f t="shared" si="10"/>
        <v>2.8262034055601863</v>
      </c>
      <c r="H42">
        <f t="shared" si="10"/>
        <v>2.7762250790596927</v>
      </c>
      <c r="I42">
        <f t="shared" si="10"/>
        <v>2.7106135264179576</v>
      </c>
      <c r="J42">
        <f t="shared" si="10"/>
        <v>2.62819818309046</v>
      </c>
      <c r="K42">
        <f t="shared" si="10"/>
        <v>2.5273356899311965</v>
      </c>
      <c r="L42">
        <f t="shared" si="10"/>
        <v>2.4057069001854727</v>
      </c>
      <c r="M42">
        <f t="shared" si="10"/>
        <v>2.259961435423179</v>
      </c>
      <c r="N42">
        <f t="shared" si="10"/>
        <v>2.0850481264469645</v>
      </c>
      <c r="O42">
        <f t="shared" si="10"/>
        <v>1.8728122408826777</v>
      </c>
      <c r="P42">
        <f t="shared" si="10"/>
        <v>1.608547695780264</v>
      </c>
      <c r="Q42">
        <f t="shared" si="10"/>
        <v>1.2599308273075938</v>
      </c>
      <c r="R42">
        <f t="shared" si="10"/>
        <v>0.712338184853232</v>
      </c>
    </row>
    <row r="43" spans="2:17" ht="12.75">
      <c r="B43">
        <f t="shared" si="6"/>
        <v>29</v>
      </c>
      <c r="C43" s="3">
        <f t="shared" si="4"/>
        <v>13.944018152598623</v>
      </c>
      <c r="D43" s="3">
        <f t="shared" si="5"/>
        <v>2.7888036305197246</v>
      </c>
      <c r="E43">
        <f t="shared" si="10"/>
        <v>2.7816228517899395</v>
      </c>
      <c r="F43">
        <f t="shared" si="10"/>
        <v>2.7599684218483365</v>
      </c>
      <c r="G43">
        <f t="shared" si="10"/>
        <v>2.723495123843624</v>
      </c>
      <c r="H43">
        <f t="shared" si="10"/>
        <v>2.671596094023196</v>
      </c>
      <c r="I43">
        <f t="shared" si="10"/>
        <v>2.6033489373497356</v>
      </c>
      <c r="J43">
        <f t="shared" si="10"/>
        <v>2.517424415866343</v>
      </c>
      <c r="K43">
        <f t="shared" si="10"/>
        <v>2.411934014354455</v>
      </c>
      <c r="L43">
        <f t="shared" si="10"/>
        <v>2.284168489757268</v>
      </c>
      <c r="M43">
        <f t="shared" si="10"/>
        <v>2.1301233977401397</v>
      </c>
      <c r="N43">
        <f t="shared" si="10"/>
        <v>1.9435600555681312</v>
      </c>
      <c r="O43">
        <f t="shared" si="10"/>
        <v>1.7138919713914285</v>
      </c>
      <c r="P43">
        <f t="shared" si="10"/>
        <v>1.4203611123936044</v>
      </c>
      <c r="Q43">
        <f t="shared" si="10"/>
        <v>1.0086752151212983</v>
      </c>
    </row>
    <row r="44" spans="2:17" ht="12.75">
      <c r="B44">
        <f t="shared" si="6"/>
        <v>30</v>
      </c>
      <c r="C44" s="3">
        <f t="shared" si="4"/>
        <v>13.404687323470098</v>
      </c>
      <c r="D44" s="3">
        <f t="shared" si="5"/>
        <v>2.6809374646940194</v>
      </c>
      <c r="E44">
        <f t="shared" si="10"/>
        <v>2.6734669793360077</v>
      </c>
      <c r="F44">
        <f t="shared" si="10"/>
        <v>2.650929212483803</v>
      </c>
      <c r="G44">
        <f t="shared" si="10"/>
        <v>2.6129343064072614</v>
      </c>
      <c r="H44">
        <f t="shared" si="10"/>
        <v>2.558793795834279</v>
      </c>
      <c r="I44">
        <f t="shared" si="10"/>
        <v>2.487453655769288</v>
      </c>
      <c r="J44">
        <f t="shared" si="10"/>
        <v>2.397378920738229</v>
      </c>
      <c r="K44">
        <f t="shared" si="10"/>
        <v>2.2863564222579114</v>
      </c>
      <c r="L44">
        <f t="shared" si="10"/>
        <v>2.151145204211003</v>
      </c>
      <c r="M44">
        <f t="shared" si="10"/>
        <v>1.986812947813658</v>
      </c>
      <c r="N44">
        <f t="shared" si="10"/>
        <v>1.7853362959397867</v>
      </c>
      <c r="O44">
        <f t="shared" si="10"/>
        <v>1.5321310941300021</v>
      </c>
      <c r="P44">
        <f t="shared" si="10"/>
        <v>1.1947492161955988</v>
      </c>
      <c r="Q44">
        <f t="shared" si="10"/>
        <v>0.6537780124782395</v>
      </c>
    </row>
    <row r="45" spans="2:16" ht="12.75">
      <c r="B45">
        <f t="shared" si="6"/>
        <v>31</v>
      </c>
      <c r="C45" s="3">
        <f t="shared" si="4"/>
        <v>12.823246166240432</v>
      </c>
      <c r="D45" s="3">
        <f t="shared" si="5"/>
        <v>2.5646492332480864</v>
      </c>
      <c r="E45">
        <f t="shared" si="10"/>
        <v>2.556839003457198</v>
      </c>
      <c r="F45">
        <f t="shared" si="10"/>
        <v>2.533263841292493</v>
      </c>
      <c r="G45">
        <f t="shared" si="10"/>
        <v>2.4934766270410473</v>
      </c>
      <c r="H45">
        <f t="shared" si="10"/>
        <v>2.4366833379821835</v>
      </c>
      <c r="I45">
        <f t="shared" si="10"/>
        <v>2.361657403096393</v>
      </c>
      <c r="J45">
        <f t="shared" si="10"/>
        <v>2.2665889988262093</v>
      </c>
      <c r="K45">
        <f t="shared" si="10"/>
        <v>2.148819603782504</v>
      </c>
      <c r="L45">
        <f t="shared" si="10"/>
        <v>2.004351688102664</v>
      </c>
      <c r="M45">
        <f t="shared" si="10"/>
        <v>1.8268622524974338</v>
      </c>
      <c r="N45">
        <f t="shared" si="10"/>
        <v>1.605436292600861</v>
      </c>
      <c r="O45">
        <f t="shared" si="10"/>
        <v>1.3181144448036357</v>
      </c>
      <c r="P45">
        <f t="shared" si="10"/>
        <v>0.904115971322262</v>
      </c>
    </row>
    <row r="46" spans="2:16" ht="12.75">
      <c r="B46">
        <f t="shared" si="6"/>
        <v>32</v>
      </c>
      <c r="C46" s="3">
        <f t="shared" si="4"/>
        <v>12.19367222127936</v>
      </c>
      <c r="D46" s="3">
        <f t="shared" si="5"/>
        <v>2.438734444255872</v>
      </c>
      <c r="E46">
        <f t="shared" si="10"/>
        <v>2.4305196336586126</v>
      </c>
      <c r="F46">
        <f t="shared" si="10"/>
        <v>2.4057069001854727</v>
      </c>
      <c r="G46">
        <f t="shared" si="10"/>
        <v>2.3637736121718587</v>
      </c>
      <c r="H46">
        <f t="shared" si="10"/>
        <v>2.303785078864779</v>
      </c>
      <c r="I46">
        <f t="shared" si="10"/>
        <v>2.2242809376515362</v>
      </c>
      <c r="J46">
        <f t="shared" si="10"/>
        <v>2.1230698739325553</v>
      </c>
      <c r="K46">
        <f t="shared" si="10"/>
        <v>1.9968539479891854</v>
      </c>
      <c r="L46">
        <f t="shared" si="10"/>
        <v>1.840496044440193</v>
      </c>
      <c r="M46">
        <f t="shared" si="10"/>
        <v>1.6454256864410488</v>
      </c>
      <c r="N46">
        <f t="shared" si="10"/>
        <v>1.3955019489774987</v>
      </c>
      <c r="O46">
        <f t="shared" si="10"/>
        <v>1.0523429524636905</v>
      </c>
      <c r="P46">
        <f t="shared" si="10"/>
        <v>0.43292688712991406</v>
      </c>
    </row>
    <row r="47" spans="2:15" ht="12.75">
      <c r="B47">
        <f t="shared" si="6"/>
        <v>33</v>
      </c>
      <c r="C47" s="3">
        <f t="shared" si="4"/>
        <v>11.508068571224275</v>
      </c>
      <c r="D47" s="3">
        <f t="shared" si="5"/>
        <v>2.301613714244855</v>
      </c>
      <c r="E47">
        <f aca="true" t="shared" si="11" ref="E47:O47">+SQRT((1-E$13^2/$C47^2)*$D47^2)</f>
        <v>2.292907693214011</v>
      </c>
      <c r="F47">
        <f t="shared" si="11"/>
        <v>2.266588998826209</v>
      </c>
      <c r="G47">
        <f t="shared" si="11"/>
        <v>2.222031883119591</v>
      </c>
      <c r="H47">
        <f t="shared" si="11"/>
        <v>2.158106968989257</v>
      </c>
      <c r="I47">
        <f t="shared" si="11"/>
        <v>2.0730233210458575</v>
      </c>
      <c r="J47">
        <f t="shared" si="11"/>
        <v>1.964033016423094</v>
      </c>
      <c r="K47">
        <f t="shared" si="11"/>
        <v>1.8268622524974336</v>
      </c>
      <c r="L47">
        <f t="shared" si="11"/>
        <v>1.6545167541007242</v>
      </c>
      <c r="M47">
        <f t="shared" si="11"/>
        <v>1.4343729255671263</v>
      </c>
      <c r="N47">
        <f t="shared" si="11"/>
        <v>1.1390459558771089</v>
      </c>
      <c r="O47">
        <f t="shared" si="11"/>
        <v>0.6763325288643127</v>
      </c>
    </row>
    <row r="48" spans="2:14" ht="12.75">
      <c r="B48">
        <f t="shared" si="6"/>
        <v>34</v>
      </c>
      <c r="C48" s="3">
        <f t="shared" si="4"/>
        <v>10.755726021055015</v>
      </c>
      <c r="D48" s="3">
        <f t="shared" si="5"/>
        <v>2.151145204211003</v>
      </c>
      <c r="E48">
        <f aca="true" t="shared" si="12" ref="E48:N48">+SQRT((1-E$13^2/$C48^2)*$D48^2)</f>
        <v>2.1418276517030956</v>
      </c>
      <c r="F48">
        <f t="shared" si="12"/>
        <v>2.1136285599887215</v>
      </c>
      <c r="G48">
        <f t="shared" si="12"/>
        <v>2.06577484000556</v>
      </c>
      <c r="H48">
        <f t="shared" si="12"/>
        <v>1.9968539479891856</v>
      </c>
      <c r="I48">
        <f t="shared" si="12"/>
        <v>1.9045801872328707</v>
      </c>
      <c r="J48">
        <f t="shared" si="12"/>
        <v>1.7853362959397867</v>
      </c>
      <c r="K48">
        <f t="shared" si="12"/>
        <v>1.6332255476816413</v>
      </c>
      <c r="L48">
        <f t="shared" si="12"/>
        <v>1.4378545439647217</v>
      </c>
      <c r="M48">
        <f t="shared" si="12"/>
        <v>1.177890355508524</v>
      </c>
      <c r="N48">
        <f t="shared" si="12"/>
        <v>0.7921020701904506</v>
      </c>
    </row>
    <row r="49" spans="2:13" ht="12.75">
      <c r="B49">
        <f t="shared" si="6"/>
        <v>35</v>
      </c>
      <c r="C49" s="3">
        <f t="shared" si="4"/>
        <v>9.92147379374657</v>
      </c>
      <c r="D49" s="3">
        <f t="shared" si="5"/>
        <v>1.9842947587493136</v>
      </c>
      <c r="E49">
        <f aca="true" t="shared" si="13" ref="E49:M49">+SQRT((1-E$13^2/$C49^2)*$D49^2)</f>
        <v>1.9741898818502734</v>
      </c>
      <c r="F49">
        <f t="shared" si="13"/>
        <v>1.9435600555681312</v>
      </c>
      <c r="G49">
        <f t="shared" si="13"/>
        <v>1.891408387842244</v>
      </c>
      <c r="H49">
        <f t="shared" si="13"/>
        <v>1.815881518601915</v>
      </c>
      <c r="I49">
        <f t="shared" si="13"/>
        <v>1.7138919713914285</v>
      </c>
      <c r="J49">
        <f t="shared" si="13"/>
        <v>1.5803245519829139</v>
      </c>
      <c r="K49">
        <f t="shared" si="13"/>
        <v>1.4062096890577869</v>
      </c>
      <c r="L49">
        <f t="shared" si="13"/>
        <v>1.1736378017088567</v>
      </c>
      <c r="M49">
        <f t="shared" si="13"/>
        <v>0.8351201647667225</v>
      </c>
    </row>
    <row r="50" spans="2:12" ht="12.75">
      <c r="B50">
        <f t="shared" si="6"/>
        <v>36</v>
      </c>
      <c r="C50" s="3">
        <f t="shared" si="4"/>
        <v>8.982518702457567</v>
      </c>
      <c r="D50" s="3">
        <f t="shared" si="5"/>
        <v>1.796503740491513</v>
      </c>
      <c r="E50">
        <f aca="true" t="shared" si="14" ref="E50:L50">+SQRT((1-E$13^2/$C50^2)*$D50^2)</f>
        <v>1.7853362959397867</v>
      </c>
      <c r="F50">
        <f t="shared" si="14"/>
        <v>1.7514067744530386</v>
      </c>
      <c r="G50">
        <f t="shared" si="14"/>
        <v>1.6933474804658368</v>
      </c>
      <c r="H50">
        <f t="shared" si="14"/>
        <v>1.6085476957802642</v>
      </c>
      <c r="I50">
        <f t="shared" si="14"/>
        <v>1.4924562605316103</v>
      </c>
      <c r="J50">
        <f t="shared" si="14"/>
        <v>1.3369464049093358</v>
      </c>
      <c r="K50">
        <f t="shared" si="14"/>
        <v>1.1258000220287785</v>
      </c>
      <c r="L50">
        <f t="shared" si="14"/>
        <v>0.8169612534263778</v>
      </c>
    </row>
    <row r="51" spans="2:11" ht="12.75">
      <c r="B51">
        <f t="shared" si="6"/>
        <v>37</v>
      </c>
      <c r="C51" s="3">
        <f t="shared" si="4"/>
        <v>7.901622759914568</v>
      </c>
      <c r="D51" s="3">
        <f t="shared" si="5"/>
        <v>1.5803245519829134</v>
      </c>
      <c r="E51">
        <f aca="true" t="shared" si="15" ref="E51:K51">+SQRT((1-E$13^2/$C51^2)*$D51^2)</f>
        <v>1.5676178391432</v>
      </c>
      <c r="F51">
        <f t="shared" si="15"/>
        <v>1.528864182849476</v>
      </c>
      <c r="G51">
        <f t="shared" si="15"/>
        <v>1.4619937378798844</v>
      </c>
      <c r="H51">
        <f t="shared" si="15"/>
        <v>1.3628740549295066</v>
      </c>
      <c r="I51">
        <f t="shared" si="15"/>
        <v>1.2236934622690425</v>
      </c>
      <c r="J51">
        <f t="shared" si="15"/>
        <v>1.0283120584725225</v>
      </c>
      <c r="K51">
        <f t="shared" si="15"/>
        <v>0.7330932339068454</v>
      </c>
    </row>
    <row r="52" spans="2:10" ht="12.75">
      <c r="B52">
        <f t="shared" si="6"/>
        <v>38</v>
      </c>
      <c r="C52" s="3">
        <f t="shared" si="4"/>
        <v>6.609511497834008</v>
      </c>
      <c r="D52" s="3">
        <f t="shared" si="5"/>
        <v>1.3219022995668015</v>
      </c>
      <c r="E52">
        <f aca="true" t="shared" si="16" ref="E52:J52">+SQRT((1-E$13^2/$C52^2)*$D52^2)</f>
        <v>1.306685000143492</v>
      </c>
      <c r="F52">
        <f t="shared" si="16"/>
        <v>1.2599308273075938</v>
      </c>
      <c r="G52">
        <f t="shared" si="16"/>
        <v>1.1778903555085243</v>
      </c>
      <c r="H52">
        <f t="shared" si="16"/>
        <v>1.052342952463691</v>
      </c>
      <c r="I52">
        <f t="shared" si="16"/>
        <v>0.8645378474075025</v>
      </c>
      <c r="J52">
        <f t="shared" si="16"/>
        <v>0.5544598178407505</v>
      </c>
    </row>
    <row r="53" spans="2:8" ht="12.75">
      <c r="B53">
        <f t="shared" si="6"/>
        <v>39</v>
      </c>
      <c r="C53" s="3">
        <f t="shared" si="4"/>
        <v>4.943242077827055</v>
      </c>
      <c r="D53" s="3">
        <f t="shared" si="5"/>
        <v>0.9886484155654108</v>
      </c>
      <c r="E53">
        <f>+SQRT((1-E$13^2/$C53^2)*$D53^2)</f>
        <v>0.9682074620658515</v>
      </c>
      <c r="F53">
        <f>+SQRT((1-F$13^2/$C53^2)*$D53^2)</f>
        <v>0.9041159713222621</v>
      </c>
      <c r="G53">
        <f>+SQRT((1-G$13^2/$C53^2)*$D53^2)</f>
        <v>0.7857643982772428</v>
      </c>
      <c r="H53">
        <f>+SQRT((1-H$13^2/$C53^2)*$D53^2)</f>
        <v>0.5808835422010141</v>
      </c>
    </row>
    <row r="54" spans="2:6" ht="12.75">
      <c r="B54">
        <f t="shared" si="6"/>
        <v>40</v>
      </c>
      <c r="C54" s="3">
        <f t="shared" si="4"/>
        <v>2.1646344356495733</v>
      </c>
      <c r="D54" s="3">
        <f t="shared" si="5"/>
        <v>0.4329268871299146</v>
      </c>
      <c r="E54">
        <f>+SQRT((1-E$13^2/$C54^2)*$D54^2)</f>
        <v>0.3839605313049739</v>
      </c>
      <c r="F54">
        <f>+SQRT((1-F$13^2/$C54^2)*$D54^2)</f>
        <v>0.16560703366704524</v>
      </c>
    </row>
    <row r="56" spans="4:5" ht="12.75">
      <c r="D56" s="3">
        <f>SUM(D14:X54)</f>
        <v>1800.5591752372027</v>
      </c>
      <c r="E56" t="s">
        <v>188</v>
      </c>
    </row>
    <row r="57" ht="12.75">
      <c r="D57">
        <v>8</v>
      </c>
    </row>
    <row r="58" ht="12.75">
      <c r="D58" s="36">
        <f>+D57*D56</f>
        <v>14404.473401897621</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3:U118"/>
  <sheetViews>
    <sheetView workbookViewId="0" topLeftCell="A1">
      <selection activeCell="E21" sqref="E21"/>
    </sheetView>
  </sheetViews>
  <sheetFormatPr defaultColWidth="9.140625" defaultRowHeight="12.75"/>
  <cols>
    <col min="1" max="1" width="13.00390625" style="0" customWidth="1"/>
    <col min="2" max="2" width="12.7109375" style="0" customWidth="1"/>
    <col min="3" max="3" width="17.8515625" style="0" customWidth="1"/>
    <col min="4" max="4" width="5.8515625" style="0" customWidth="1"/>
    <col min="9" max="9" width="9.28125" style="0" customWidth="1"/>
    <col min="11" max="11" width="9.57421875" style="0" bestFit="1" customWidth="1"/>
    <col min="12" max="12" width="13.140625" style="0" bestFit="1" customWidth="1"/>
    <col min="13" max="13" width="12.421875" style="0" bestFit="1" customWidth="1"/>
  </cols>
  <sheetData>
    <row r="3" ht="12.75">
      <c r="A3" t="s">
        <v>0</v>
      </c>
    </row>
    <row r="4" spans="1:2" ht="12.75">
      <c r="A4" t="s">
        <v>189</v>
      </c>
      <c r="B4">
        <f>+'Eliptical Volume'!C2</f>
        <v>80.46719999999999</v>
      </c>
    </row>
    <row r="5" spans="1:7" ht="12.75">
      <c r="A5" t="s">
        <v>190</v>
      </c>
      <c r="B5">
        <f>+'Eliptical Volume'!C3</f>
        <v>40.233599999999996</v>
      </c>
      <c r="C5" s="1"/>
      <c r="D5" s="1"/>
      <c r="G5" s="1"/>
    </row>
    <row r="6" spans="1:7" ht="12.75">
      <c r="A6" t="s">
        <v>6</v>
      </c>
      <c r="B6">
        <f>+'Eliptical Volume'!C4</f>
        <v>8.046719999999999</v>
      </c>
      <c r="G6" s="1"/>
    </row>
    <row r="7" spans="1:7" ht="12.75">
      <c r="A7" t="s">
        <v>4</v>
      </c>
      <c r="B7" s="1">
        <f>+'Eliptical Volume'!D58</f>
        <v>14404.473401897621</v>
      </c>
      <c r="C7" s="1" t="s">
        <v>191</v>
      </c>
      <c r="D7" s="1"/>
      <c r="E7" s="1"/>
      <c r="G7" s="1"/>
    </row>
    <row r="8" spans="2:7" ht="12.75">
      <c r="B8" s="1" t="s">
        <v>5</v>
      </c>
      <c r="C8" s="1">
        <f>+B7*10^9</f>
        <v>14404473401897.621</v>
      </c>
      <c r="D8" s="1"/>
      <c r="E8" s="1"/>
      <c r="G8" s="1"/>
    </row>
    <row r="9" spans="1:7" ht="12.75">
      <c r="A9" t="s">
        <v>192</v>
      </c>
      <c r="B9" s="1"/>
      <c r="C9" s="1">
        <f>+'Material Properties'!AB36</f>
        <v>1627.9162640827938</v>
      </c>
      <c r="D9" s="1"/>
      <c r="E9" s="1"/>
      <c r="G9" s="1"/>
    </row>
    <row r="10" spans="2:7" ht="12.75">
      <c r="B10" s="1"/>
      <c r="C10" s="1"/>
      <c r="D10" s="1"/>
      <c r="E10" s="1"/>
      <c r="G10" s="1"/>
    </row>
    <row r="11" spans="1:8" ht="12.75">
      <c r="A11" t="s">
        <v>1</v>
      </c>
      <c r="C11" s="1">
        <f>+C9*C8/10^9</f>
        <v>23449276.526497148</v>
      </c>
      <c r="D11" s="12" t="s">
        <v>193</v>
      </c>
      <c r="E11" s="1"/>
      <c r="F11" t="s">
        <v>194</v>
      </c>
      <c r="G11" s="1" t="s">
        <v>197</v>
      </c>
      <c r="H11" s="1" t="s">
        <v>195</v>
      </c>
    </row>
    <row r="12" spans="1:10" ht="12.75">
      <c r="A12" t="s">
        <v>2</v>
      </c>
      <c r="B12" s="2">
        <f>+'Material Properties'!Y31+'Material Properties'!Y33</f>
        <v>0.8999999999999999</v>
      </c>
      <c r="C12" s="1">
        <f>+C11*B12</f>
        <v>21104348.873847432</v>
      </c>
      <c r="D12" s="12" t="s">
        <v>193</v>
      </c>
      <c r="E12" s="1"/>
      <c r="F12" s="3">
        <f>+'Material Properties'!AB50</f>
        <v>3099.78080432655</v>
      </c>
      <c r="G12">
        <f>4/3*PI()/8</f>
        <v>0.5235987755982988</v>
      </c>
      <c r="H12">
        <f>+F12*G12</f>
        <v>1623.0414337684915</v>
      </c>
      <c r="I12" s="1">
        <f>+C12/H12</f>
        <v>13002.963716610657</v>
      </c>
      <c r="J12" t="s">
        <v>196</v>
      </c>
    </row>
    <row r="13" spans="1:10" ht="12.75">
      <c r="A13" t="s">
        <v>3</v>
      </c>
      <c r="B13" s="2">
        <f>1-B12</f>
        <v>0.10000000000000009</v>
      </c>
      <c r="C13" s="1">
        <f>+C11-C12</f>
        <v>2344927.6526497155</v>
      </c>
      <c r="D13" s="12" t="s">
        <v>193</v>
      </c>
      <c r="E13" s="1"/>
      <c r="F13" t="s">
        <v>198</v>
      </c>
      <c r="G13">
        <v>0.3</v>
      </c>
      <c r="H13">
        <f>+G13*F12</f>
        <v>929.934241297965</v>
      </c>
      <c r="I13" s="1">
        <f>+C12/H13</f>
        <v>22694.452937221482</v>
      </c>
      <c r="J13" t="s">
        <v>196</v>
      </c>
    </row>
    <row r="14" spans="2:9" ht="12.75">
      <c r="B14" s="2"/>
      <c r="E14" s="1"/>
      <c r="G14">
        <f>1-G13</f>
        <v>0.7</v>
      </c>
      <c r="H14">
        <f>+G14*1000</f>
        <v>700</v>
      </c>
      <c r="I14" s="1"/>
    </row>
    <row r="15" spans="1:9" ht="12.75">
      <c r="A15" t="s">
        <v>18</v>
      </c>
      <c r="B15" s="2">
        <v>2000</v>
      </c>
      <c r="C15" t="s">
        <v>19</v>
      </c>
      <c r="E15" s="1"/>
      <c r="H15">
        <f>+H14+H13</f>
        <v>1629.934241297965</v>
      </c>
      <c r="I15" t="s">
        <v>199</v>
      </c>
    </row>
    <row r="16" spans="1:5" ht="12.75">
      <c r="A16" t="s">
        <v>21</v>
      </c>
      <c r="B16" s="2">
        <v>0.9</v>
      </c>
      <c r="C16" t="s">
        <v>22</v>
      </c>
      <c r="E16" s="1"/>
    </row>
    <row r="17" ht="12.75">
      <c r="B17" s="2"/>
    </row>
    <row r="18" ht="12.75">
      <c r="A18" t="s">
        <v>8</v>
      </c>
    </row>
    <row r="19" spans="1:5" ht="12.75">
      <c r="A19" t="s">
        <v>9</v>
      </c>
      <c r="B19" s="1">
        <v>15000</v>
      </c>
      <c r="C19" t="s">
        <v>10</v>
      </c>
      <c r="E19" s="1">
        <f>+B19</f>
        <v>15000</v>
      </c>
    </row>
    <row r="20" spans="1:5" ht="12.75">
      <c r="A20" t="s">
        <v>11</v>
      </c>
      <c r="B20" s="1">
        <v>2700</v>
      </c>
      <c r="C20" t="s">
        <v>12</v>
      </c>
      <c r="E20" s="1">
        <f>+C9</f>
        <v>1627.9162640827938</v>
      </c>
    </row>
    <row r="21" spans="1:8" ht="12.75">
      <c r="A21" t="s">
        <v>13</v>
      </c>
      <c r="B21" s="1">
        <f>+B19*B20*9.82/10^5</f>
        <v>3977.1</v>
      </c>
      <c r="C21" t="s">
        <v>23</v>
      </c>
      <c r="D21" s="1">
        <f>+B21-E21</f>
        <v>1579.1793430060447</v>
      </c>
      <c r="E21" s="1">
        <f>+E19*E20*9.82/10^5</f>
        <v>2397.920656993955</v>
      </c>
      <c r="G21" s="1">
        <f>+B21*100/7</f>
        <v>56815.71428571428</v>
      </c>
      <c r="H21" t="s">
        <v>14</v>
      </c>
    </row>
    <row r="24" spans="1:3" ht="12.75">
      <c r="A24" t="s">
        <v>15</v>
      </c>
      <c r="B24">
        <v>10</v>
      </c>
      <c r="C24" t="s">
        <v>16</v>
      </c>
    </row>
    <row r="25" spans="2:3" ht="12.75">
      <c r="B25" s="3">
        <f>+B24^2/4*PI()</f>
        <v>78.53981633974483</v>
      </c>
      <c r="C25" t="s">
        <v>7</v>
      </c>
    </row>
    <row r="26" spans="2:4" ht="12.75">
      <c r="B26" s="3"/>
      <c r="D26" t="s">
        <v>91</v>
      </c>
    </row>
    <row r="27" spans="1:3" ht="12.75">
      <c r="A27" t="s">
        <v>93</v>
      </c>
      <c r="C27" s="3">
        <v>0.5</v>
      </c>
    </row>
    <row r="28" spans="1:5" ht="12.75">
      <c r="A28" t="s">
        <v>94</v>
      </c>
      <c r="B28" s="3" t="s">
        <v>96</v>
      </c>
      <c r="C28">
        <v>0.02</v>
      </c>
      <c r="D28">
        <f>+B19/B24</f>
        <v>1500</v>
      </c>
      <c r="E28">
        <f>+D28*C28</f>
        <v>30</v>
      </c>
    </row>
    <row r="29" spans="1:3" ht="12.75">
      <c r="A29" t="s">
        <v>95</v>
      </c>
      <c r="C29" s="3">
        <v>1</v>
      </c>
    </row>
    <row r="30" spans="2:5" ht="12.75">
      <c r="B30" s="3"/>
      <c r="E30" s="3">
        <f>+C29+E28+C27</f>
        <v>31.5</v>
      </c>
    </row>
    <row r="31" ht="12.75">
      <c r="B31" s="3"/>
    </row>
    <row r="32" ht="12.75">
      <c r="B32" s="3"/>
    </row>
    <row r="33" ht="12.75">
      <c r="B33" s="3"/>
    </row>
    <row r="34" ht="12.75">
      <c r="B34" s="3"/>
    </row>
    <row r="35" ht="12.75">
      <c r="B35" s="3"/>
    </row>
    <row r="36" ht="12.75">
      <c r="B36" s="3"/>
    </row>
    <row r="37" spans="1:10" ht="12.75">
      <c r="A37" t="s">
        <v>17</v>
      </c>
      <c r="E37" t="s">
        <v>24</v>
      </c>
      <c r="J37">
        <f>+J38*1000</f>
        <v>5501.014084507044</v>
      </c>
    </row>
    <row r="38" spans="1:11" ht="12.75">
      <c r="A38" t="s">
        <v>20</v>
      </c>
      <c r="E38">
        <v>4258.8</v>
      </c>
      <c r="F38">
        <f>0.1^3</f>
        <v>0.0010000000000000002</v>
      </c>
      <c r="G38">
        <f>+F38*E38</f>
        <v>4.258800000000001</v>
      </c>
      <c r="H38">
        <v>1</v>
      </c>
      <c r="I38">
        <f>+H38*G38/H39</f>
        <v>0.004614084507042255</v>
      </c>
      <c r="J38">
        <f>+I38*K39/K38</f>
        <v>5.501014084507044</v>
      </c>
      <c r="K38">
        <v>0.9</v>
      </c>
    </row>
    <row r="39" spans="8:11" ht="12.75">
      <c r="H39">
        <f>650+273</f>
        <v>923</v>
      </c>
      <c r="K39">
        <f>800+273</f>
        <v>1073</v>
      </c>
    </row>
    <row r="44" ht="12.75">
      <c r="A44" t="s">
        <v>166</v>
      </c>
    </row>
    <row r="45" spans="1:5" ht="12.75">
      <c r="A45" t="s">
        <v>167</v>
      </c>
      <c r="B45" s="40" t="s">
        <v>169</v>
      </c>
      <c r="C45">
        <v>12760</v>
      </c>
      <c r="E45">
        <f>+C45/2</f>
        <v>6380</v>
      </c>
    </row>
    <row r="46" spans="1:5" ht="12.75">
      <c r="A46" t="s">
        <v>168</v>
      </c>
      <c r="B46" s="41">
        <v>12720</v>
      </c>
      <c r="C46">
        <v>12720</v>
      </c>
      <c r="E46">
        <f>+C46/2</f>
        <v>6360</v>
      </c>
    </row>
    <row r="48" spans="5:6" ht="12.75">
      <c r="E48" t="s">
        <v>172</v>
      </c>
      <c r="F48">
        <v>55</v>
      </c>
    </row>
    <row r="49" spans="7:20" ht="12.75">
      <c r="G49">
        <v>14</v>
      </c>
      <c r="P49">
        <v>15</v>
      </c>
      <c r="T49" t="s">
        <v>173</v>
      </c>
    </row>
    <row r="51" spans="2:14" ht="12.75">
      <c r="B51" s="3"/>
      <c r="C51" s="12"/>
      <c r="D51" s="12"/>
      <c r="E51" s="12"/>
      <c r="F51" s="3"/>
      <c r="G51" s="12"/>
      <c r="H51" s="12"/>
      <c r="K51" s="3"/>
      <c r="M51" s="3"/>
      <c r="N51" s="3"/>
    </row>
    <row r="52" spans="2:21" ht="12.75">
      <c r="B52" s="3"/>
      <c r="C52" s="12"/>
      <c r="D52" s="12"/>
      <c r="E52" s="12"/>
      <c r="F52" s="3"/>
      <c r="G52" s="12"/>
      <c r="H52" s="12"/>
      <c r="I52" s="3"/>
      <c r="J52" s="3"/>
      <c r="K52" s="3"/>
      <c r="L52" s="3"/>
      <c r="M52" s="3"/>
      <c r="N52" s="3"/>
      <c r="O52" s="3"/>
      <c r="P52" s="3"/>
      <c r="Q52" s="3"/>
      <c r="R52" s="12"/>
      <c r="S52" s="12"/>
      <c r="T52" s="12"/>
      <c r="U52" s="12"/>
    </row>
    <row r="53" spans="2:21" ht="12.75">
      <c r="B53" s="3"/>
      <c r="C53" s="12"/>
      <c r="D53" s="12"/>
      <c r="E53" s="12"/>
      <c r="F53" s="3"/>
      <c r="G53" s="12"/>
      <c r="H53" s="12"/>
      <c r="I53" s="3"/>
      <c r="J53" s="3"/>
      <c r="K53" s="3"/>
      <c r="L53" s="3"/>
      <c r="M53" s="3"/>
      <c r="N53" s="3"/>
      <c r="O53" s="3"/>
      <c r="P53" s="3"/>
      <c r="Q53" s="3"/>
      <c r="R53" s="12"/>
      <c r="S53" s="12"/>
      <c r="T53" s="12"/>
      <c r="U53" s="12"/>
    </row>
    <row r="54" spans="2:21" ht="12.75">
      <c r="B54" s="3"/>
      <c r="C54" s="12"/>
      <c r="D54" s="12"/>
      <c r="E54" s="12"/>
      <c r="F54" s="3"/>
      <c r="G54" s="12"/>
      <c r="H54" s="12"/>
      <c r="I54" s="3"/>
      <c r="J54" s="3"/>
      <c r="K54" s="3"/>
      <c r="L54" s="3"/>
      <c r="M54" s="3"/>
      <c r="N54" s="3"/>
      <c r="O54" s="3"/>
      <c r="P54" s="3"/>
      <c r="Q54" s="3"/>
      <c r="R54" s="12"/>
      <c r="S54" s="12"/>
      <c r="T54" s="12"/>
      <c r="U54" s="12"/>
    </row>
    <row r="55" spans="2:21" ht="12.75">
      <c r="B55" s="3"/>
      <c r="C55" s="12"/>
      <c r="D55" s="12"/>
      <c r="E55" s="12"/>
      <c r="F55" s="3"/>
      <c r="G55" s="12"/>
      <c r="H55" s="12"/>
      <c r="I55" s="3"/>
      <c r="J55" s="3"/>
      <c r="K55" s="3"/>
      <c r="L55" s="3"/>
      <c r="M55" s="3"/>
      <c r="N55" s="3"/>
      <c r="O55" s="3"/>
      <c r="P55" s="3"/>
      <c r="Q55" s="3"/>
      <c r="R55" s="12"/>
      <c r="S55" s="12"/>
      <c r="T55" s="12"/>
      <c r="U55" s="12"/>
    </row>
    <row r="56" spans="2:21" ht="12.75">
      <c r="B56" s="3"/>
      <c r="C56" s="12"/>
      <c r="D56" s="12"/>
      <c r="E56" s="12"/>
      <c r="F56" s="3"/>
      <c r="G56" s="12"/>
      <c r="H56" s="12"/>
      <c r="I56" s="3"/>
      <c r="J56" s="3"/>
      <c r="K56" s="3"/>
      <c r="L56" s="3"/>
      <c r="M56" s="3"/>
      <c r="N56" s="3"/>
      <c r="O56" s="3"/>
      <c r="P56" s="3"/>
      <c r="Q56" s="3"/>
      <c r="R56" s="12"/>
      <c r="S56" s="12"/>
      <c r="T56" s="12"/>
      <c r="U56" s="12"/>
    </row>
    <row r="57" spans="2:21" ht="12.75">
      <c r="B57" s="3"/>
      <c r="C57" s="12"/>
      <c r="D57" s="12"/>
      <c r="E57" s="12"/>
      <c r="F57" s="3"/>
      <c r="G57" s="12"/>
      <c r="H57" s="12"/>
      <c r="I57" s="3"/>
      <c r="J57" s="3"/>
      <c r="K57" s="3"/>
      <c r="L57" s="3"/>
      <c r="M57" s="3"/>
      <c r="N57" s="3"/>
      <c r="O57" s="3"/>
      <c r="P57" s="3"/>
      <c r="Q57" s="3"/>
      <c r="R57" s="12"/>
      <c r="S57" s="12"/>
      <c r="T57" s="12"/>
      <c r="U57" s="12"/>
    </row>
    <row r="58" spans="2:21" ht="12.75">
      <c r="B58" s="3"/>
      <c r="C58" s="12"/>
      <c r="D58" s="12"/>
      <c r="E58" s="12"/>
      <c r="F58" s="3"/>
      <c r="G58" s="12"/>
      <c r="H58" s="12"/>
      <c r="I58" s="3"/>
      <c r="J58" s="3"/>
      <c r="K58" s="3"/>
      <c r="L58" s="3"/>
      <c r="M58" s="3"/>
      <c r="N58" s="3"/>
      <c r="O58" s="3"/>
      <c r="P58" s="3"/>
      <c r="Q58" s="3"/>
      <c r="R58" s="12"/>
      <c r="S58" s="12"/>
      <c r="T58" s="12"/>
      <c r="U58" s="12"/>
    </row>
    <row r="59" spans="2:21" ht="12.75">
      <c r="B59" s="3"/>
      <c r="C59" s="12"/>
      <c r="D59" s="12"/>
      <c r="E59" s="12"/>
      <c r="F59" s="3"/>
      <c r="G59" s="12"/>
      <c r="H59" s="12"/>
      <c r="I59" s="3"/>
      <c r="J59" s="3"/>
      <c r="K59" s="3"/>
      <c r="L59" s="3"/>
      <c r="M59" s="3"/>
      <c r="N59" s="3"/>
      <c r="O59" s="3"/>
      <c r="P59" s="3"/>
      <c r="Q59" s="3"/>
      <c r="R59" s="12"/>
      <c r="S59" s="12"/>
      <c r="T59" s="12"/>
      <c r="U59" s="12"/>
    </row>
    <row r="60" spans="2:21" ht="12.75">
      <c r="B60" s="3"/>
      <c r="C60" s="12"/>
      <c r="D60" s="12"/>
      <c r="E60" s="12"/>
      <c r="F60" s="3"/>
      <c r="G60" s="12"/>
      <c r="H60" s="12"/>
      <c r="I60" s="3"/>
      <c r="J60" s="3"/>
      <c r="K60" s="3"/>
      <c r="L60" s="3"/>
      <c r="M60" s="3"/>
      <c r="N60" s="3"/>
      <c r="O60" s="3"/>
      <c r="P60" s="3"/>
      <c r="Q60" s="3"/>
      <c r="R60" s="12"/>
      <c r="S60" s="12"/>
      <c r="T60" s="12"/>
      <c r="U60" s="12"/>
    </row>
    <row r="61" spans="2:21" ht="12.75">
      <c r="B61" s="3"/>
      <c r="C61" s="12"/>
      <c r="D61" s="12"/>
      <c r="E61" s="12"/>
      <c r="F61" s="3"/>
      <c r="G61" s="12"/>
      <c r="H61" s="12"/>
      <c r="I61" s="3"/>
      <c r="J61" s="3"/>
      <c r="K61" s="3"/>
      <c r="L61" s="3"/>
      <c r="M61" s="3"/>
      <c r="N61" s="3"/>
      <c r="O61" s="3"/>
      <c r="P61" s="3"/>
      <c r="Q61" s="3"/>
      <c r="R61" s="12"/>
      <c r="S61" s="12"/>
      <c r="T61" s="12"/>
      <c r="U61" s="12"/>
    </row>
    <row r="62" spans="2:21" ht="12.75">
      <c r="B62" s="3"/>
      <c r="C62" s="12"/>
      <c r="D62" s="12"/>
      <c r="E62" s="12"/>
      <c r="F62" s="3"/>
      <c r="G62" s="12"/>
      <c r="H62" s="12"/>
      <c r="I62" s="3"/>
      <c r="J62" s="3"/>
      <c r="K62" s="3"/>
      <c r="L62" s="3"/>
      <c r="M62" s="3"/>
      <c r="N62" s="3"/>
      <c r="O62" s="3"/>
      <c r="P62" s="3"/>
      <c r="Q62" s="3"/>
      <c r="R62" s="12"/>
      <c r="S62" s="12"/>
      <c r="T62" s="12"/>
      <c r="U62" s="12"/>
    </row>
    <row r="63" spans="2:21" ht="12.75">
      <c r="B63" s="3"/>
      <c r="C63" s="12"/>
      <c r="D63" s="12"/>
      <c r="E63" s="12"/>
      <c r="F63" s="3"/>
      <c r="G63" s="12"/>
      <c r="H63" s="12"/>
      <c r="I63" s="3"/>
      <c r="J63" s="3"/>
      <c r="K63" s="3"/>
      <c r="L63" s="3"/>
      <c r="M63" s="3"/>
      <c r="N63" s="3"/>
      <c r="O63" s="3"/>
      <c r="P63" s="3"/>
      <c r="Q63" s="3"/>
      <c r="R63" s="12"/>
      <c r="S63" s="12"/>
      <c r="T63" s="12"/>
      <c r="U63" s="12"/>
    </row>
    <row r="64" spans="2:21" ht="12.75">
      <c r="B64" s="3"/>
      <c r="C64" s="12"/>
      <c r="D64" s="12"/>
      <c r="E64" s="12"/>
      <c r="F64" s="3"/>
      <c r="G64" s="12"/>
      <c r="H64" s="12"/>
      <c r="I64" s="3"/>
      <c r="J64" s="3"/>
      <c r="K64" s="3"/>
      <c r="L64" s="3"/>
      <c r="M64" s="3"/>
      <c r="N64" s="3"/>
      <c r="O64" s="3"/>
      <c r="P64" s="3"/>
      <c r="Q64" s="3"/>
      <c r="R64" s="12"/>
      <c r="S64" s="12"/>
      <c r="T64" s="12"/>
      <c r="U64" s="12"/>
    </row>
    <row r="65" spans="2:21" ht="12.75">
      <c r="B65" s="3"/>
      <c r="C65" s="12"/>
      <c r="D65" s="12"/>
      <c r="E65" s="12"/>
      <c r="F65" s="3"/>
      <c r="G65" s="12"/>
      <c r="H65" s="12"/>
      <c r="I65" s="3"/>
      <c r="J65" s="3"/>
      <c r="K65" s="3"/>
      <c r="L65" s="3"/>
      <c r="M65" s="3"/>
      <c r="N65" s="3"/>
      <c r="O65" s="3"/>
      <c r="P65" s="3"/>
      <c r="Q65" s="3"/>
      <c r="R65" s="12"/>
      <c r="S65" s="12"/>
      <c r="T65" s="12"/>
      <c r="U65" s="12"/>
    </row>
    <row r="66" spans="2:21" ht="12.75">
      <c r="B66" s="3"/>
      <c r="C66" s="12"/>
      <c r="D66" s="12"/>
      <c r="E66" s="12"/>
      <c r="F66" s="3"/>
      <c r="G66" s="12"/>
      <c r="H66" s="12"/>
      <c r="I66" s="3"/>
      <c r="J66" s="3"/>
      <c r="K66" s="3"/>
      <c r="L66" s="3"/>
      <c r="M66" s="3"/>
      <c r="N66" s="3"/>
      <c r="O66" s="3"/>
      <c r="P66" s="3"/>
      <c r="Q66" s="3"/>
      <c r="R66" s="12"/>
      <c r="S66" s="12"/>
      <c r="T66" s="12"/>
      <c r="U66" s="12"/>
    </row>
    <row r="67" spans="2:21" ht="12.75">
      <c r="B67" s="3"/>
      <c r="C67" s="12"/>
      <c r="D67" s="12"/>
      <c r="E67" s="12"/>
      <c r="F67" s="3"/>
      <c r="G67" s="12"/>
      <c r="H67" s="12"/>
      <c r="I67" s="3"/>
      <c r="J67" s="3"/>
      <c r="K67" s="3"/>
      <c r="L67" s="3"/>
      <c r="M67" s="3"/>
      <c r="N67" s="3"/>
      <c r="O67" s="3"/>
      <c r="P67" s="3"/>
      <c r="Q67" s="3"/>
      <c r="R67" s="12"/>
      <c r="S67" s="12"/>
      <c r="T67" s="12"/>
      <c r="U67" s="12"/>
    </row>
    <row r="68" spans="2:21" ht="12.75">
      <c r="B68" s="3"/>
      <c r="C68" s="12"/>
      <c r="D68" s="12"/>
      <c r="E68" s="12"/>
      <c r="F68" s="3"/>
      <c r="G68" s="12"/>
      <c r="H68" s="12"/>
      <c r="I68" s="3"/>
      <c r="J68" s="3"/>
      <c r="K68" s="3"/>
      <c r="L68" s="3"/>
      <c r="M68" s="3"/>
      <c r="N68" s="3"/>
      <c r="O68" s="3"/>
      <c r="P68" s="3"/>
      <c r="Q68" s="3"/>
      <c r="R68" s="12"/>
      <c r="S68" s="12"/>
      <c r="T68" s="12"/>
      <c r="U68" s="12"/>
    </row>
    <row r="69" spans="2:21" ht="12.75">
      <c r="B69" s="3"/>
      <c r="C69" s="12"/>
      <c r="D69" s="12"/>
      <c r="E69" s="12"/>
      <c r="F69" s="3"/>
      <c r="G69" s="12"/>
      <c r="H69" s="12"/>
      <c r="I69" s="3"/>
      <c r="J69" s="3"/>
      <c r="K69" s="3"/>
      <c r="L69" s="3"/>
      <c r="M69" s="3"/>
      <c r="N69" s="3"/>
      <c r="O69" s="3"/>
      <c r="P69" s="3"/>
      <c r="Q69" s="3"/>
      <c r="R69" s="12"/>
      <c r="S69" s="12"/>
      <c r="T69" s="12"/>
      <c r="U69" s="12"/>
    </row>
    <row r="70" spans="2:21" ht="12.75">
      <c r="B70" s="3"/>
      <c r="C70" s="12"/>
      <c r="D70" s="12"/>
      <c r="E70" s="12"/>
      <c r="F70" s="3"/>
      <c r="G70" s="12"/>
      <c r="H70" s="12"/>
      <c r="I70" s="3"/>
      <c r="J70" s="3"/>
      <c r="K70" s="3"/>
      <c r="L70" s="3"/>
      <c r="M70" s="3"/>
      <c r="N70" s="3"/>
      <c r="O70" s="3"/>
      <c r="P70" s="3"/>
      <c r="Q70" s="3"/>
      <c r="R70" s="12"/>
      <c r="S70" s="12"/>
      <c r="T70" s="12"/>
      <c r="U70" s="12"/>
    </row>
    <row r="71" spans="2:21" ht="12.75">
      <c r="B71" s="3"/>
      <c r="C71" s="12"/>
      <c r="D71" s="12"/>
      <c r="E71" s="12"/>
      <c r="F71" s="3"/>
      <c r="G71" s="12"/>
      <c r="H71" s="12"/>
      <c r="I71" s="3"/>
      <c r="J71" s="3"/>
      <c r="K71" s="3"/>
      <c r="L71" s="3"/>
      <c r="M71" s="3"/>
      <c r="N71" s="3"/>
      <c r="O71" s="3"/>
      <c r="P71" s="3"/>
      <c r="Q71" s="3"/>
      <c r="R71" s="12"/>
      <c r="S71" s="12"/>
      <c r="T71" s="12"/>
      <c r="U71" s="12"/>
    </row>
    <row r="72" spans="2:21" ht="12.75">
      <c r="B72" s="3"/>
      <c r="C72" s="12"/>
      <c r="D72" s="12"/>
      <c r="E72" s="12"/>
      <c r="F72" s="3"/>
      <c r="G72" s="12"/>
      <c r="J72" s="3"/>
      <c r="K72" s="3"/>
      <c r="L72" s="3"/>
      <c r="M72" s="3"/>
      <c r="N72" s="3"/>
      <c r="U72" s="12"/>
    </row>
    <row r="73" spans="2:21" ht="12.75">
      <c r="B73" s="3"/>
      <c r="C73" s="12"/>
      <c r="D73" s="12"/>
      <c r="E73" s="12"/>
      <c r="F73" s="3"/>
      <c r="G73" s="12"/>
      <c r="J73" s="3"/>
      <c r="K73" s="3"/>
      <c r="L73" s="3"/>
      <c r="M73" s="43"/>
      <c r="N73" s="3"/>
      <c r="U73" s="12"/>
    </row>
    <row r="74" spans="2:21" ht="12.75">
      <c r="B74" s="3"/>
      <c r="C74" s="12"/>
      <c r="D74" s="12"/>
      <c r="E74" s="12"/>
      <c r="F74" s="3"/>
      <c r="G74" s="12"/>
      <c r="J74" s="3"/>
      <c r="K74" s="3"/>
      <c r="L74" s="3"/>
      <c r="M74" s="3"/>
      <c r="N74" s="3"/>
      <c r="U74" s="12"/>
    </row>
    <row r="75" spans="2:21" ht="12.75">
      <c r="B75" s="3"/>
      <c r="C75" s="12"/>
      <c r="D75" s="12"/>
      <c r="E75" s="12"/>
      <c r="F75" s="3"/>
      <c r="G75" s="12"/>
      <c r="J75" s="3"/>
      <c r="K75" s="3"/>
      <c r="L75" s="3"/>
      <c r="M75" s="3"/>
      <c r="N75" s="3"/>
      <c r="U75" s="12"/>
    </row>
    <row r="76" spans="2:21" ht="12.75">
      <c r="B76" s="3"/>
      <c r="C76" s="12"/>
      <c r="D76" s="12"/>
      <c r="E76" s="12"/>
      <c r="F76" s="3"/>
      <c r="G76" s="12"/>
      <c r="J76" s="3"/>
      <c r="K76" s="3"/>
      <c r="L76" s="3"/>
      <c r="M76" s="3"/>
      <c r="N76" s="3"/>
      <c r="U76" s="12"/>
    </row>
    <row r="77" spans="2:21" ht="12.75">
      <c r="B77" s="3"/>
      <c r="C77" s="12"/>
      <c r="D77" s="12"/>
      <c r="E77" s="12"/>
      <c r="F77" s="3"/>
      <c r="G77" s="12"/>
      <c r="J77" s="3"/>
      <c r="K77" s="3"/>
      <c r="L77" s="3"/>
      <c r="M77" s="3"/>
      <c r="N77" s="3"/>
      <c r="U77" s="12"/>
    </row>
    <row r="78" spans="2:21" ht="12.75">
      <c r="B78" s="3"/>
      <c r="C78" s="12"/>
      <c r="D78" s="12"/>
      <c r="E78" s="12"/>
      <c r="F78" s="3"/>
      <c r="G78" s="12"/>
      <c r="J78" s="3"/>
      <c r="K78" s="3"/>
      <c r="L78" s="3"/>
      <c r="M78" s="3"/>
      <c r="N78" s="3"/>
      <c r="U78" s="12"/>
    </row>
    <row r="79" spans="2:21" ht="12.75">
      <c r="B79" s="3"/>
      <c r="C79" s="12"/>
      <c r="D79" s="12"/>
      <c r="E79" s="12"/>
      <c r="F79" s="3"/>
      <c r="G79" s="12"/>
      <c r="J79" s="3"/>
      <c r="K79" s="3"/>
      <c r="L79" s="3"/>
      <c r="M79" s="3"/>
      <c r="N79" s="3"/>
      <c r="U79" s="12"/>
    </row>
    <row r="80" spans="2:21" ht="12.75">
      <c r="B80" s="3"/>
      <c r="C80" s="12"/>
      <c r="D80" s="12"/>
      <c r="E80" s="12"/>
      <c r="F80" s="3"/>
      <c r="G80" s="12"/>
      <c r="J80" s="3"/>
      <c r="K80" s="3"/>
      <c r="L80" s="3"/>
      <c r="M80" s="3"/>
      <c r="N80" s="3"/>
      <c r="U80" s="12"/>
    </row>
    <row r="81" spans="2:21" ht="12.75">
      <c r="B81" s="3"/>
      <c r="C81" s="12"/>
      <c r="D81" s="12"/>
      <c r="E81" s="12"/>
      <c r="F81" s="3"/>
      <c r="G81" s="12"/>
      <c r="J81" s="3"/>
      <c r="K81" s="3"/>
      <c r="L81" s="3"/>
      <c r="M81" s="3"/>
      <c r="N81" s="3"/>
      <c r="U81" s="12"/>
    </row>
    <row r="82" spans="2:21" ht="12.75">
      <c r="B82" s="3"/>
      <c r="C82" s="12"/>
      <c r="D82" s="12"/>
      <c r="E82" s="12"/>
      <c r="F82" s="3"/>
      <c r="G82" s="12"/>
      <c r="J82" s="3"/>
      <c r="K82" s="3"/>
      <c r="L82" s="3"/>
      <c r="M82" s="3"/>
      <c r="N82" s="3"/>
      <c r="U82" s="12"/>
    </row>
    <row r="83" spans="2:21" ht="12.75">
      <c r="B83" s="3"/>
      <c r="C83" s="12"/>
      <c r="D83" s="12"/>
      <c r="E83" s="12"/>
      <c r="F83" s="3"/>
      <c r="G83" s="12"/>
      <c r="J83" s="3"/>
      <c r="K83" s="3"/>
      <c r="L83" s="3"/>
      <c r="M83" s="3"/>
      <c r="N83" s="3"/>
      <c r="U83" s="12"/>
    </row>
    <row r="84" spans="2:21" ht="12.75">
      <c r="B84" s="3">
        <f aca="true" t="shared" si="0" ref="B84:B91">+B83+0.05</f>
        <v>0.05</v>
      </c>
      <c r="C84" s="12">
        <f aca="true" t="shared" si="1" ref="C84:C91">SINH(B84)</f>
        <v>0.05002083593765505</v>
      </c>
      <c r="D84" s="12">
        <f aca="true" t="shared" si="2" ref="D84:D91">COSH(B84)</f>
        <v>1.001250260438369</v>
      </c>
      <c r="E84" s="12">
        <f aca="true" t="shared" si="3" ref="E84:E91">-D84+D$51</f>
        <v>-1.001250260438369</v>
      </c>
      <c r="F84" s="3">
        <f aca="true" t="shared" si="4" ref="F84:F91">+B84*F$48</f>
        <v>2.75</v>
      </c>
      <c r="G84" s="12">
        <f aca="true" t="shared" si="5" ref="G84:G91">+E84*G$49*2</f>
        <v>-28.035007292274333</v>
      </c>
      <c r="J84" s="3"/>
      <c r="K84" s="3"/>
      <c r="L84" s="3"/>
      <c r="M84" s="3"/>
      <c r="N84" s="3"/>
      <c r="U84" s="12"/>
    </row>
    <row r="85" spans="2:21" ht="12.75">
      <c r="B85" s="3">
        <f t="shared" si="0"/>
        <v>0.1</v>
      </c>
      <c r="C85" s="12">
        <f t="shared" si="1"/>
        <v>0.1001667500198441</v>
      </c>
      <c r="D85" s="12">
        <f t="shared" si="2"/>
        <v>1.0050041680558035</v>
      </c>
      <c r="E85" s="12">
        <f t="shared" si="3"/>
        <v>-1.0050041680558035</v>
      </c>
      <c r="F85" s="3">
        <f t="shared" si="4"/>
        <v>5.5</v>
      </c>
      <c r="G85" s="12">
        <f t="shared" si="5"/>
        <v>-28.140116705562498</v>
      </c>
      <c r="J85" s="3"/>
      <c r="K85" s="3"/>
      <c r="L85" s="3"/>
      <c r="M85" s="3"/>
      <c r="N85" s="3"/>
      <c r="U85" s="12"/>
    </row>
    <row r="86" spans="2:14" ht="12.75">
      <c r="B86" s="3">
        <f t="shared" si="0"/>
        <v>0.15000000000000002</v>
      </c>
      <c r="C86" s="12">
        <f t="shared" si="1"/>
        <v>0.15056313315161263</v>
      </c>
      <c r="D86" s="12">
        <f t="shared" si="2"/>
        <v>1.0112711095766704</v>
      </c>
      <c r="E86" s="12">
        <f t="shared" si="3"/>
        <v>-1.0112711095766704</v>
      </c>
      <c r="F86" s="3">
        <f t="shared" si="4"/>
        <v>8.250000000000002</v>
      </c>
      <c r="G86" s="12">
        <f t="shared" si="5"/>
        <v>-28.315591068146773</v>
      </c>
      <c r="L86" s="3"/>
      <c r="M86" s="3"/>
      <c r="N86" s="3"/>
    </row>
    <row r="87" spans="2:14" ht="12.75">
      <c r="B87" s="3">
        <f t="shared" si="0"/>
        <v>0.2</v>
      </c>
      <c r="C87" s="12">
        <f t="shared" si="1"/>
        <v>0.20133600254109402</v>
      </c>
      <c r="D87" s="12">
        <f t="shared" si="2"/>
        <v>1.020066755619076</v>
      </c>
      <c r="E87" s="12">
        <f t="shared" si="3"/>
        <v>-1.020066755619076</v>
      </c>
      <c r="F87" s="3">
        <f t="shared" si="4"/>
        <v>11</v>
      </c>
      <c r="G87" s="12">
        <f t="shared" si="5"/>
        <v>-28.561869157334126</v>
      </c>
      <c r="L87" s="3"/>
      <c r="M87" s="3"/>
      <c r="N87" s="3"/>
    </row>
    <row r="88" spans="2:14" ht="12.75">
      <c r="B88" s="3">
        <f t="shared" si="0"/>
        <v>0.25</v>
      </c>
      <c r="C88" s="12">
        <f t="shared" si="1"/>
        <v>0.25261231680816826</v>
      </c>
      <c r="D88" s="12">
        <f t="shared" si="2"/>
        <v>1.0314130998795732</v>
      </c>
      <c r="E88" s="12">
        <f t="shared" si="3"/>
        <v>-1.0314130998795732</v>
      </c>
      <c r="F88" s="3">
        <f t="shared" si="4"/>
        <v>13.75</v>
      </c>
      <c r="G88" s="12">
        <f t="shared" si="5"/>
        <v>-28.879566796628048</v>
      </c>
      <c r="L88" s="3"/>
      <c r="M88" s="3"/>
      <c r="N88" s="3"/>
    </row>
    <row r="89" spans="2:14" ht="12.75">
      <c r="B89" s="3">
        <f t="shared" si="0"/>
        <v>0.3</v>
      </c>
      <c r="C89" s="12">
        <f t="shared" si="1"/>
        <v>0.30452029344714265</v>
      </c>
      <c r="D89" s="12">
        <f t="shared" si="2"/>
        <v>1.0453385141288605</v>
      </c>
      <c r="E89" s="12">
        <f t="shared" si="3"/>
        <v>-1.0453385141288605</v>
      </c>
      <c r="F89" s="3">
        <f t="shared" si="4"/>
        <v>16.5</v>
      </c>
      <c r="G89" s="12">
        <f t="shared" si="5"/>
        <v>-29.269478395608093</v>
      </c>
      <c r="L89" s="3"/>
      <c r="M89" s="3"/>
      <c r="N89" s="3"/>
    </row>
    <row r="90" spans="2:14" ht="12.75">
      <c r="B90" s="3">
        <f t="shared" si="0"/>
        <v>0.35</v>
      </c>
      <c r="C90" s="12">
        <f t="shared" si="1"/>
        <v>0.35718972943727184</v>
      </c>
      <c r="D90" s="12">
        <f t="shared" si="2"/>
        <v>1.0618778191559852</v>
      </c>
      <c r="E90" s="12">
        <f t="shared" si="3"/>
        <v>-1.0618778191559852</v>
      </c>
      <c r="F90" s="3">
        <f t="shared" si="4"/>
        <v>19.25</v>
      </c>
      <c r="G90" s="12">
        <f t="shared" si="5"/>
        <v>-29.732578936367588</v>
      </c>
      <c r="L90" s="3"/>
      <c r="M90" s="3"/>
      <c r="N90" s="3"/>
    </row>
    <row r="91" spans="2:14" ht="12.75">
      <c r="B91" s="3">
        <f t="shared" si="0"/>
        <v>0.39999999999999997</v>
      </c>
      <c r="C91" s="12">
        <f t="shared" si="1"/>
        <v>0.4107523258028155</v>
      </c>
      <c r="D91" s="12">
        <f t="shared" si="2"/>
        <v>1.081072371838455</v>
      </c>
      <c r="E91" s="12">
        <f t="shared" si="3"/>
        <v>-1.081072371838455</v>
      </c>
      <c r="F91" s="3">
        <f t="shared" si="4"/>
        <v>21.999999999999996</v>
      </c>
      <c r="G91" s="12">
        <f t="shared" si="5"/>
        <v>-30.27002641147674</v>
      </c>
      <c r="L91" s="3"/>
      <c r="M91" s="3"/>
      <c r="N91" s="3"/>
    </row>
    <row r="92" ht="12.75">
      <c r="B92" s="3"/>
    </row>
    <row r="93" ht="12.75">
      <c r="B93" s="3"/>
    </row>
    <row r="94" ht="12.75">
      <c r="B94" s="3"/>
    </row>
    <row r="95" ht="12.75">
      <c r="B95" s="3"/>
    </row>
    <row r="96" ht="12.75">
      <c r="B96" s="3"/>
    </row>
    <row r="97" ht="12.75">
      <c r="B97" s="3"/>
    </row>
    <row r="98" ht="12.75">
      <c r="B98" s="3"/>
    </row>
    <row r="99" ht="12.75">
      <c r="B99" s="3"/>
    </row>
    <row r="100" ht="12.75">
      <c r="B100" s="3"/>
    </row>
    <row r="101" ht="12.75">
      <c r="B101" s="3"/>
    </row>
    <row r="102" ht="12.75">
      <c r="B102" s="3"/>
    </row>
    <row r="103" ht="12.75">
      <c r="B103" s="3"/>
    </row>
    <row r="104" ht="12.75">
      <c r="B104" s="3"/>
    </row>
    <row r="105" ht="12.75">
      <c r="B105" s="3"/>
    </row>
    <row r="106" ht="12.75">
      <c r="B106" s="3"/>
    </row>
    <row r="107" ht="12.75">
      <c r="B107" s="3"/>
    </row>
    <row r="108" ht="12.75">
      <c r="B108" s="3"/>
    </row>
    <row r="109" ht="12.75">
      <c r="B109" s="3"/>
    </row>
    <row r="110" ht="12.75">
      <c r="B110" s="3"/>
    </row>
    <row r="111" ht="12.75">
      <c r="B111" s="3"/>
    </row>
    <row r="112" ht="12.75">
      <c r="B112" s="3"/>
    </row>
    <row r="113" ht="12.75">
      <c r="B113" s="3"/>
    </row>
    <row r="114" ht="12.75">
      <c r="B114" s="3"/>
    </row>
    <row r="115" ht="12.75">
      <c r="B115" s="3"/>
    </row>
    <row r="116" ht="12.75">
      <c r="B116" s="3"/>
    </row>
    <row r="117" ht="12.75">
      <c r="B117" s="3"/>
    </row>
    <row r="118" ht="12.75">
      <c r="B118" s="3"/>
    </row>
  </sheetData>
  <printOptions/>
  <pageMargins left="0.75" right="0.75" top="1" bottom="1" header="0.5" footer="0.5"/>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2:BB158"/>
  <sheetViews>
    <sheetView workbookViewId="0" topLeftCell="R27">
      <selection activeCell="AB35" sqref="AB35"/>
    </sheetView>
  </sheetViews>
  <sheetFormatPr defaultColWidth="9.140625" defaultRowHeight="12.75"/>
  <cols>
    <col min="3" max="4" width="8.7109375" style="0" hidden="1" customWidth="1"/>
    <col min="6" max="7" width="9.140625" style="0" hidden="1" customWidth="1"/>
    <col min="11" max="12" width="9.140625" style="0" hidden="1" customWidth="1"/>
    <col min="16" max="16" width="11.421875" style="0" bestFit="1" customWidth="1"/>
    <col min="19" max="19" width="12.421875" style="0" bestFit="1" customWidth="1"/>
    <col min="20" max="21" width="0" style="0" hidden="1" customWidth="1"/>
    <col min="23" max="24" width="0" style="0" hidden="1" customWidth="1"/>
    <col min="25" max="25" width="9.57421875" style="0" bestFit="1" customWidth="1"/>
    <col min="26" max="27" width="0" style="0" hidden="1" customWidth="1"/>
    <col min="28" max="28" width="12.421875" style="0" bestFit="1" customWidth="1"/>
    <col min="29" max="30" width="0" style="0" hidden="1" customWidth="1"/>
    <col min="31" max="31" width="12.421875" style="0" bestFit="1" customWidth="1"/>
    <col min="32" max="33" width="0" style="0" hidden="1" customWidth="1"/>
    <col min="34" max="34" width="12.421875" style="0" bestFit="1" customWidth="1"/>
    <col min="35" max="36" width="0" style="0" hidden="1" customWidth="1"/>
    <col min="38" max="39" width="0" style="0" hidden="1" customWidth="1"/>
    <col min="41" max="42" width="0" style="0" hidden="1" customWidth="1"/>
    <col min="44" max="45" width="0" style="0" hidden="1" customWidth="1"/>
    <col min="47" max="48" width="0" style="0" hidden="1" customWidth="1"/>
    <col min="50" max="53" width="0" style="0" hidden="1" customWidth="1"/>
  </cols>
  <sheetData>
    <row r="2" ht="12.75">
      <c r="A2" t="s">
        <v>25</v>
      </c>
    </row>
    <row r="3" ht="12.75">
      <c r="M3" s="42" t="s">
        <v>170</v>
      </c>
    </row>
    <row r="4" spans="1:5" ht="12.75">
      <c r="A4" t="s">
        <v>26</v>
      </c>
      <c r="B4">
        <v>60.1</v>
      </c>
      <c r="E4" t="s">
        <v>27</v>
      </c>
    </row>
    <row r="5" spans="1:13" ht="12.75">
      <c r="A5" t="s">
        <v>28</v>
      </c>
      <c r="B5">
        <v>1986</v>
      </c>
      <c r="E5" t="s">
        <v>29</v>
      </c>
      <c r="F5">
        <v>1713</v>
      </c>
      <c r="H5" t="s">
        <v>30</v>
      </c>
      <c r="M5" s="42" t="s">
        <v>171</v>
      </c>
    </row>
    <row r="6" spans="1:9" ht="12.75">
      <c r="A6" t="s">
        <v>31</v>
      </c>
      <c r="B6">
        <v>2503</v>
      </c>
      <c r="E6" t="s">
        <v>29</v>
      </c>
      <c r="F6">
        <v>2230</v>
      </c>
      <c r="H6" t="s">
        <v>30</v>
      </c>
      <c r="I6" s="4" t="s">
        <v>32</v>
      </c>
    </row>
    <row r="7" spans="1:5" ht="12.75">
      <c r="A7" t="s">
        <v>11</v>
      </c>
      <c r="B7">
        <v>2600</v>
      </c>
      <c r="E7" t="s">
        <v>12</v>
      </c>
    </row>
    <row r="9" spans="1:5" ht="12.75">
      <c r="A9" s="5" t="s">
        <v>34</v>
      </c>
      <c r="B9">
        <v>-305.43</v>
      </c>
      <c r="E9" t="s">
        <v>33</v>
      </c>
    </row>
    <row r="10" spans="1:5" ht="15.75">
      <c r="A10" t="s">
        <v>35</v>
      </c>
      <c r="B10">
        <v>-899.86</v>
      </c>
      <c r="E10" t="s">
        <v>33</v>
      </c>
    </row>
    <row r="11" spans="1:5" ht="15.75">
      <c r="A11" t="s">
        <v>36</v>
      </c>
      <c r="B11">
        <v>-910.86</v>
      </c>
      <c r="E11" t="s">
        <v>33</v>
      </c>
    </row>
    <row r="12" spans="1:5" ht="12.75">
      <c r="A12" s="5" t="s">
        <v>37</v>
      </c>
      <c r="B12">
        <v>228.98</v>
      </c>
      <c r="E12" t="s">
        <v>38</v>
      </c>
    </row>
    <row r="13" spans="1:5" ht="15.75">
      <c r="A13" t="s">
        <v>39</v>
      </c>
      <c r="B13">
        <v>41.46</v>
      </c>
      <c r="E13" t="s">
        <v>38</v>
      </c>
    </row>
    <row r="15" ht="12.75">
      <c r="A15" s="8" t="s">
        <v>53</v>
      </c>
    </row>
    <row r="16" ht="12.75">
      <c r="A16" s="8" t="s">
        <v>54</v>
      </c>
    </row>
    <row r="17" spans="1:4" ht="12.75">
      <c r="A17" s="6" t="s">
        <v>40</v>
      </c>
      <c r="B17" s="6"/>
      <c r="C17" s="10"/>
      <c r="D17" s="10"/>
    </row>
    <row r="18" spans="1:5" ht="12.75">
      <c r="A18" s="6" t="s">
        <v>41</v>
      </c>
      <c r="B18" s="6" t="s">
        <v>42</v>
      </c>
      <c r="C18" s="10"/>
      <c r="D18" s="10"/>
      <c r="E18" s="7" t="s">
        <v>52</v>
      </c>
    </row>
    <row r="19" spans="1:4" ht="12.75">
      <c r="A19" s="6" t="s">
        <v>43</v>
      </c>
      <c r="B19" s="6" t="s">
        <v>44</v>
      </c>
      <c r="C19" s="10"/>
      <c r="D19" s="10"/>
    </row>
    <row r="21" spans="1:4" ht="12.75">
      <c r="A21" s="6" t="s">
        <v>45</v>
      </c>
      <c r="B21" s="6"/>
      <c r="C21" s="10"/>
      <c r="D21" s="10"/>
    </row>
    <row r="22" spans="1:4" ht="12.75">
      <c r="A22" s="6" t="s">
        <v>46</v>
      </c>
      <c r="B22" s="6" t="s">
        <v>47</v>
      </c>
      <c r="C22" s="10"/>
      <c r="D22" s="10"/>
    </row>
    <row r="23" spans="1:4" ht="12.75">
      <c r="A23" s="6" t="s">
        <v>48</v>
      </c>
      <c r="B23" s="6" t="s">
        <v>49</v>
      </c>
      <c r="C23" s="10"/>
      <c r="D23" s="10"/>
    </row>
    <row r="24" spans="1:4" ht="12.75">
      <c r="A24" s="6" t="s">
        <v>50</v>
      </c>
      <c r="B24" s="6" t="s">
        <v>51</v>
      </c>
      <c r="C24" s="10"/>
      <c r="D24" s="10"/>
    </row>
    <row r="25" spans="1:4" ht="12.75">
      <c r="A25" s="10"/>
      <c r="B25" s="10"/>
      <c r="C25" s="10"/>
      <c r="D25" s="10"/>
    </row>
    <row r="26" spans="1:4" ht="63.75">
      <c r="A26" s="10" t="s">
        <v>56</v>
      </c>
      <c r="B26" s="10"/>
      <c r="C26" s="10"/>
      <c r="D26" s="10"/>
    </row>
    <row r="27" spans="1:4" ht="12.75">
      <c r="A27" s="11" t="s">
        <v>57</v>
      </c>
      <c r="B27" s="10"/>
      <c r="C27" s="10"/>
      <c r="D27" s="10"/>
    </row>
    <row r="29" spans="1:28" ht="12.75">
      <c r="A29" s="9" t="s">
        <v>55</v>
      </c>
      <c r="B29" t="s">
        <v>58</v>
      </c>
      <c r="E29" t="s">
        <v>60</v>
      </c>
      <c r="F29" t="s">
        <v>28</v>
      </c>
      <c r="H29" t="s">
        <v>28</v>
      </c>
      <c r="I29" t="s">
        <v>11</v>
      </c>
      <c r="V29" t="s">
        <v>85</v>
      </c>
      <c r="AB29" t="s">
        <v>125</v>
      </c>
    </row>
    <row r="30" spans="2:34" ht="12.75">
      <c r="B30" t="s">
        <v>59</v>
      </c>
      <c r="E30" t="s">
        <v>59</v>
      </c>
      <c r="F30" t="s">
        <v>61</v>
      </c>
      <c r="H30" t="s">
        <v>30</v>
      </c>
      <c r="I30" t="s">
        <v>62</v>
      </c>
      <c r="J30" t="s">
        <v>63</v>
      </c>
      <c r="M30" t="s">
        <v>12</v>
      </c>
      <c r="Y30" t="s">
        <v>87</v>
      </c>
      <c r="AB30">
        <v>4000</v>
      </c>
      <c r="AE30">
        <v>0.9</v>
      </c>
      <c r="AH30">
        <v>1.1</v>
      </c>
    </row>
    <row r="31" spans="22:34" ht="12.75">
      <c r="V31" t="s">
        <v>45</v>
      </c>
      <c r="Y31">
        <v>0.7</v>
      </c>
      <c r="AB31" s="44">
        <f>+Y31/M32</f>
        <v>0.00026485054861899356</v>
      </c>
      <c r="AE31">
        <f>+AB31</f>
        <v>0.00026485054861899356</v>
      </c>
      <c r="AH31">
        <f>+AE31</f>
        <v>0.00026485054861899356</v>
      </c>
    </row>
    <row r="32" spans="1:34" ht="12.75">
      <c r="A32" t="s">
        <v>45</v>
      </c>
      <c r="B32">
        <v>0.2</v>
      </c>
      <c r="F32">
        <v>220</v>
      </c>
      <c r="H32">
        <v>1204</v>
      </c>
      <c r="I32">
        <v>130</v>
      </c>
      <c r="J32">
        <v>0.096</v>
      </c>
      <c r="M32">
        <v>2643</v>
      </c>
      <c r="V32" t="s">
        <v>86</v>
      </c>
      <c r="Y32">
        <v>0.1</v>
      </c>
      <c r="AB32" s="44">
        <f>+Y32/AW135</f>
        <v>0.0003239390994493036</v>
      </c>
      <c r="AE32">
        <f>+Y32/E135</f>
        <v>1.1657729074376313</v>
      </c>
      <c r="AH32">
        <f>+Y32/H135</f>
        <v>1.0492078480747038</v>
      </c>
    </row>
    <row r="33" spans="22:34" ht="12.75">
      <c r="V33" t="s">
        <v>71</v>
      </c>
      <c r="Y33">
        <v>0.2</v>
      </c>
      <c r="AB33" s="44">
        <f>+Y33/V36</f>
        <v>2.549256168861785E-05</v>
      </c>
      <c r="AE33">
        <f>+AB33</f>
        <v>2.549256168861785E-05</v>
      </c>
      <c r="AH33">
        <f>+AE33</f>
        <v>2.549256168861785E-05</v>
      </c>
    </row>
    <row r="34" spans="1:13" ht="12.75">
      <c r="A34" t="s">
        <v>64</v>
      </c>
      <c r="B34">
        <v>0.13</v>
      </c>
      <c r="F34">
        <v>2300</v>
      </c>
      <c r="H34">
        <v>1260</v>
      </c>
      <c r="I34">
        <v>480</v>
      </c>
      <c r="J34">
        <v>0.26</v>
      </c>
      <c r="M34">
        <v>7209</v>
      </c>
    </row>
    <row r="35" spans="1:34" ht="12.75">
      <c r="A35" t="s">
        <v>65</v>
      </c>
      <c r="B35">
        <v>0.12</v>
      </c>
      <c r="F35">
        <v>2800</v>
      </c>
      <c r="H35">
        <v>1538</v>
      </c>
      <c r="I35">
        <v>710</v>
      </c>
      <c r="J35">
        <v>0.278</v>
      </c>
      <c r="M35">
        <v>7690</v>
      </c>
      <c r="Y35" t="s">
        <v>92</v>
      </c>
      <c r="AB35" s="44">
        <f>SUM(AB31:AB34)</f>
        <v>0.0006142822097569149</v>
      </c>
      <c r="AE35">
        <f>SUM(AE31:AE34)</f>
        <v>1.166063250547939</v>
      </c>
      <c r="AH35">
        <f>SUM(AH31:AH34)</f>
        <v>1.0494981911850114</v>
      </c>
    </row>
    <row r="36" spans="13:34" ht="12.75">
      <c r="M36">
        <v>7800</v>
      </c>
      <c r="P36">
        <f>1/M36</f>
        <v>0.0001282051282051282</v>
      </c>
      <c r="S36">
        <f>+POWER(P36,1/3)</f>
        <v>0.05042374901745559</v>
      </c>
      <c r="V36">
        <f>1/S44</f>
        <v>7845.425753713006</v>
      </c>
      <c r="Y36" t="s">
        <v>11</v>
      </c>
      <c r="AB36" s="3">
        <f>1/AB35</f>
        <v>1627.9162640827938</v>
      </c>
      <c r="AE36">
        <f>1/AE35</f>
        <v>0.8575864126839561</v>
      </c>
      <c r="AH36">
        <f>1/AH35</f>
        <v>0.9528363253974531</v>
      </c>
    </row>
    <row r="37" spans="1:16" ht="12.75">
      <c r="A37" t="s">
        <v>66</v>
      </c>
      <c r="H37" t="s">
        <v>74</v>
      </c>
      <c r="P37">
        <f>30*10^6</f>
        <v>30000000</v>
      </c>
    </row>
    <row r="38" spans="1:31" ht="12.75">
      <c r="A38" t="s">
        <v>67</v>
      </c>
      <c r="H38" t="s">
        <v>75</v>
      </c>
      <c r="I38" t="s">
        <v>76</v>
      </c>
      <c r="P38">
        <v>6895</v>
      </c>
      <c r="Y38" t="s">
        <v>97</v>
      </c>
      <c r="AB38">
        <v>1.3</v>
      </c>
      <c r="AE38">
        <v>1.3</v>
      </c>
    </row>
    <row r="39" spans="1:19" ht="12.75">
      <c r="A39" t="s">
        <v>68</v>
      </c>
      <c r="B39">
        <v>0.544</v>
      </c>
      <c r="E39">
        <v>0.13</v>
      </c>
      <c r="H39" t="s">
        <v>78</v>
      </c>
      <c r="I39" t="s">
        <v>79</v>
      </c>
      <c r="P39">
        <f>+P38*P37/10^9</f>
        <v>206.85</v>
      </c>
      <c r="S39" t="s">
        <v>88</v>
      </c>
    </row>
    <row r="40" spans="1:16" ht="12.75">
      <c r="A40" t="s">
        <v>69</v>
      </c>
      <c r="B40">
        <v>0.837</v>
      </c>
      <c r="E40">
        <v>0.2</v>
      </c>
      <c r="H40">
        <v>840</v>
      </c>
      <c r="P40">
        <f>+AW52*10^5</f>
        <v>400000000</v>
      </c>
    </row>
    <row r="41" spans="1:31" ht="12.75">
      <c r="A41" t="s">
        <v>70</v>
      </c>
      <c r="B41">
        <v>0.67</v>
      </c>
      <c r="E41">
        <v>0.16</v>
      </c>
      <c r="P41">
        <f>+P40/10^9</f>
        <v>0.4</v>
      </c>
      <c r="V41" t="s">
        <v>124</v>
      </c>
      <c r="AB41">
        <f>SQRT(AB38*AB35*AB30*10^5)</f>
        <v>565.1785108030875</v>
      </c>
      <c r="AE41">
        <f>SQRT(AE38*AE35*AE30*10^5)</f>
        <v>369.3635070145789</v>
      </c>
    </row>
    <row r="42" spans="16:19" ht="12.75">
      <c r="P42">
        <f>+P41/P39</f>
        <v>0.0019337684312303602</v>
      </c>
      <c r="S42">
        <f>+S36*P42</f>
        <v>9.750785403423851E-05</v>
      </c>
    </row>
    <row r="43" spans="1:19" ht="12.75">
      <c r="A43" t="s">
        <v>71</v>
      </c>
      <c r="B43">
        <v>0.486</v>
      </c>
      <c r="E43">
        <v>0.116</v>
      </c>
      <c r="H43">
        <v>450</v>
      </c>
      <c r="I43" t="s">
        <v>77</v>
      </c>
      <c r="S43">
        <f>+S36-S42</f>
        <v>0.050326241163421354</v>
      </c>
    </row>
    <row r="44" spans="1:19" ht="12.75">
      <c r="A44" t="s">
        <v>72</v>
      </c>
      <c r="B44">
        <v>0.498</v>
      </c>
      <c r="E44">
        <v>0.119</v>
      </c>
      <c r="S44">
        <f>+S43^3</f>
        <v>0.00012746280844308925</v>
      </c>
    </row>
    <row r="45" spans="1:5" ht="12.75">
      <c r="A45" t="s">
        <v>73</v>
      </c>
      <c r="B45">
        <v>0.489</v>
      </c>
      <c r="E45">
        <v>0.119</v>
      </c>
    </row>
    <row r="46" spans="22:34" ht="12.75">
      <c r="V46" t="s">
        <v>45</v>
      </c>
      <c r="Y46">
        <f>+Y31</f>
        <v>0.7</v>
      </c>
      <c r="AB46" s="45">
        <f>+AB31</f>
        <v>0.00026485054861899356</v>
      </c>
      <c r="AC46" s="45">
        <f aca="true" t="shared" si="0" ref="AC46:AH46">+AC31</f>
        <v>0</v>
      </c>
      <c r="AD46" s="45">
        <f t="shared" si="0"/>
        <v>0</v>
      </c>
      <c r="AE46" s="45">
        <f t="shared" si="0"/>
        <v>0.00026485054861899356</v>
      </c>
      <c r="AF46" s="45">
        <f t="shared" si="0"/>
        <v>0</v>
      </c>
      <c r="AG46" s="45">
        <f t="shared" si="0"/>
        <v>0</v>
      </c>
      <c r="AH46" s="45">
        <f t="shared" si="0"/>
        <v>0.00026485054861899356</v>
      </c>
    </row>
    <row r="47" spans="22:34" ht="12.75">
      <c r="V47" t="s">
        <v>71</v>
      </c>
      <c r="Y47" s="2">
        <f>+Y33</f>
        <v>0.2</v>
      </c>
      <c r="AB47" s="45">
        <f>+AB33</f>
        <v>2.549256168861785E-05</v>
      </c>
      <c r="AC47" s="45">
        <f aca="true" t="shared" si="1" ref="AC47:AH47">+AC33</f>
        <v>0</v>
      </c>
      <c r="AD47" s="45">
        <f t="shared" si="1"/>
        <v>0</v>
      </c>
      <c r="AE47" s="45">
        <f t="shared" si="1"/>
        <v>2.549256168861785E-05</v>
      </c>
      <c r="AF47" s="45">
        <f t="shared" si="1"/>
        <v>0</v>
      </c>
      <c r="AG47" s="45">
        <f t="shared" si="1"/>
        <v>0</v>
      </c>
      <c r="AH47" s="45">
        <f t="shared" si="1"/>
        <v>2.549256168861785E-05</v>
      </c>
    </row>
    <row r="48" spans="25:34" ht="12.75">
      <c r="Y48" s="2">
        <f>+Y47+Y46</f>
        <v>0.8999999999999999</v>
      </c>
      <c r="Z48" s="2">
        <f aca="true" t="shared" si="2" ref="Z48:AH48">+Z47+Z46</f>
        <v>0</v>
      </c>
      <c r="AA48" s="2">
        <f t="shared" si="2"/>
        <v>0</v>
      </c>
      <c r="AB48" s="45">
        <f t="shared" si="2"/>
        <v>0.00029034311030761144</v>
      </c>
      <c r="AC48" s="45">
        <f t="shared" si="2"/>
        <v>0</v>
      </c>
      <c r="AD48" s="45">
        <f t="shared" si="2"/>
        <v>0</v>
      </c>
      <c r="AE48" s="45">
        <f t="shared" si="2"/>
        <v>0.00029034311030761144</v>
      </c>
      <c r="AF48" s="45">
        <f t="shared" si="2"/>
        <v>0</v>
      </c>
      <c r="AG48" s="45">
        <f t="shared" si="2"/>
        <v>0</v>
      </c>
      <c r="AH48" s="45">
        <f t="shared" si="2"/>
        <v>0.00029034311030761144</v>
      </c>
    </row>
    <row r="49" spans="28:34" ht="12.75">
      <c r="AB49" s="45">
        <f>+AB48/$Y48</f>
        <v>0.00032260345589734605</v>
      </c>
      <c r="AC49" s="45">
        <f aca="true" t="shared" si="3" ref="AC49:AH49">+AC48/$Y48</f>
        <v>0</v>
      </c>
      <c r="AD49" s="45">
        <f t="shared" si="3"/>
        <v>0</v>
      </c>
      <c r="AE49" s="45">
        <f t="shared" si="3"/>
        <v>0.00032260345589734605</v>
      </c>
      <c r="AF49" s="45">
        <f t="shared" si="3"/>
        <v>0</v>
      </c>
      <c r="AG49" s="45">
        <f t="shared" si="3"/>
        <v>0</v>
      </c>
      <c r="AH49" s="45">
        <f t="shared" si="3"/>
        <v>0.00032260345589734605</v>
      </c>
    </row>
    <row r="50" spans="1:34" ht="12.75">
      <c r="A50" t="s">
        <v>80</v>
      </c>
      <c r="AB50" s="3">
        <f>1/AB49</f>
        <v>3099.78080432655</v>
      </c>
      <c r="AC50" s="3" t="e">
        <f aca="true" t="shared" si="4" ref="AC50:AH50">1/AC49</f>
        <v>#DIV/0!</v>
      </c>
      <c r="AD50" s="3" t="e">
        <f t="shared" si="4"/>
        <v>#DIV/0!</v>
      </c>
      <c r="AE50" s="3">
        <f t="shared" si="4"/>
        <v>3099.78080432655</v>
      </c>
      <c r="AF50" s="3" t="e">
        <f t="shared" si="4"/>
        <v>#DIV/0!</v>
      </c>
      <c r="AG50" s="3" t="e">
        <f t="shared" si="4"/>
        <v>#DIV/0!</v>
      </c>
      <c r="AH50" s="3">
        <f t="shared" si="4"/>
        <v>3099.78080432655</v>
      </c>
    </row>
    <row r="52" spans="1:49" ht="12.75">
      <c r="A52" t="s">
        <v>81</v>
      </c>
      <c r="B52">
        <v>0.8</v>
      </c>
      <c r="E52">
        <v>0.9</v>
      </c>
      <c r="F52">
        <v>1</v>
      </c>
      <c r="H52">
        <v>1.1</v>
      </c>
      <c r="J52">
        <v>1700</v>
      </c>
      <c r="M52">
        <v>1800</v>
      </c>
      <c r="P52">
        <v>1900</v>
      </c>
      <c r="S52">
        <v>2000</v>
      </c>
      <c r="V52">
        <v>2200</v>
      </c>
      <c r="Y52">
        <v>2400</v>
      </c>
      <c r="AB52">
        <v>2600</v>
      </c>
      <c r="AE52">
        <v>2800</v>
      </c>
      <c r="AH52">
        <v>3000</v>
      </c>
      <c r="AK52">
        <v>3200</v>
      </c>
      <c r="AN52">
        <v>3400</v>
      </c>
      <c r="AQ52">
        <v>3600</v>
      </c>
      <c r="AT52">
        <v>3800</v>
      </c>
      <c r="AW52">
        <v>4000</v>
      </c>
    </row>
    <row r="53" spans="1:2" ht="12.75">
      <c r="A53" t="s">
        <v>82</v>
      </c>
      <c r="B53" t="s">
        <v>83</v>
      </c>
    </row>
    <row r="54" ht="12.75">
      <c r="A54">
        <v>20</v>
      </c>
    </row>
    <row r="56" spans="1:49" ht="12.75">
      <c r="A56">
        <v>800</v>
      </c>
      <c r="B56">
        <v>4159.8</v>
      </c>
      <c r="E56">
        <v>4159.7</v>
      </c>
      <c r="J56">
        <v>3515</v>
      </c>
      <c r="M56">
        <v>3498</v>
      </c>
      <c r="P56">
        <v>3482</v>
      </c>
      <c r="S56">
        <v>3469</v>
      </c>
      <c r="V56">
        <v>3445</v>
      </c>
      <c r="Y56">
        <v>3427</v>
      </c>
      <c r="AB56">
        <v>2903</v>
      </c>
      <c r="AE56">
        <v>3403</v>
      </c>
      <c r="AH56">
        <v>3396</v>
      </c>
      <c r="AK56">
        <v>3391</v>
      </c>
      <c r="AN56">
        <v>3387</v>
      </c>
      <c r="AQ56">
        <v>3386</v>
      </c>
      <c r="AT56">
        <v>3386</v>
      </c>
      <c r="AW56">
        <v>3388</v>
      </c>
    </row>
    <row r="57" spans="4:50" ht="12.75">
      <c r="D57" s="3">
        <f>+(B58-B56)/($A58-$A56)</f>
        <v>2.36</v>
      </c>
      <c r="F57">
        <f>+(D58-D56)/($A58-$A56)</f>
        <v>0</v>
      </c>
      <c r="G57" s="3">
        <f>+(E58-E56)/($A58-$A56)</f>
        <v>2.362000000000007</v>
      </c>
      <c r="L57">
        <f>+(J58-J56)/($A58-$A56)</f>
        <v>3.78</v>
      </c>
      <c r="O57">
        <f>+(M58-M56)/($A58-$A56)</f>
        <v>3.78</v>
      </c>
      <c r="R57">
        <f>+(P58-P56)/($A58-$A56)</f>
        <v>3.78</v>
      </c>
      <c r="U57">
        <f>+(S58-S56)/($A58-$A56)</f>
        <v>3.78</v>
      </c>
      <c r="X57">
        <f>+(V58-V56)/($A58-$A56)</f>
        <v>3.78</v>
      </c>
      <c r="AA57">
        <f>+(Y58-Y56)/($A58-$A56)</f>
        <v>3.78</v>
      </c>
      <c r="AD57">
        <f>+(AB58-AB56)/($A58-$A56)</f>
        <v>3.14</v>
      </c>
      <c r="AG57">
        <f>+(AE58-AE56)/($A58-$A56)</f>
        <v>3.74</v>
      </c>
      <c r="AJ57">
        <f>+(AH58-AH56)/($A58-$A56)</f>
        <v>3.72</v>
      </c>
      <c r="AM57">
        <f>+(AK58-AK56)/($A58-$A56)</f>
        <v>3.7</v>
      </c>
      <c r="AP57">
        <f>+(AN58-AN56)/($A58-$A56)</f>
        <v>3.7</v>
      </c>
      <c r="AS57">
        <f>+(AQ58-AQ56)/($A58-$A56)</f>
        <v>3.68</v>
      </c>
      <c r="AV57">
        <f>+(AT58-AT56)/($A58-$A56)</f>
        <v>3.68</v>
      </c>
      <c r="AX57">
        <f>+(AW58-AW56)/($A58-$A56)</f>
        <v>3.64</v>
      </c>
    </row>
    <row r="58" spans="1:49" ht="12.75">
      <c r="A58">
        <v>850</v>
      </c>
      <c r="B58">
        <v>4277.8</v>
      </c>
      <c r="D58" s="3"/>
      <c r="E58">
        <v>4277.8</v>
      </c>
      <c r="G58" s="3"/>
      <c r="J58">
        <v>3704</v>
      </c>
      <c r="M58">
        <v>3687</v>
      </c>
      <c r="P58">
        <v>3671</v>
      </c>
      <c r="S58">
        <v>3658</v>
      </c>
      <c r="V58">
        <v>3634</v>
      </c>
      <c r="Y58">
        <v>3616</v>
      </c>
      <c r="AB58">
        <v>3060</v>
      </c>
      <c r="AE58">
        <v>3590</v>
      </c>
      <c r="AH58">
        <v>3582</v>
      </c>
      <c r="AK58">
        <v>3576</v>
      </c>
      <c r="AN58">
        <v>3572</v>
      </c>
      <c r="AQ58">
        <v>3570</v>
      </c>
      <c r="AT58">
        <v>3570</v>
      </c>
      <c r="AW58">
        <v>3570</v>
      </c>
    </row>
    <row r="59" spans="4:50" ht="12.75">
      <c r="D59" s="3">
        <f>+(B60-B58)/($A60-$A58)</f>
        <v>2.3939999999999966</v>
      </c>
      <c r="F59">
        <f>+(D60-D58)/($A60-$A58)</f>
        <v>0</v>
      </c>
      <c r="G59" s="3">
        <f>+(E60-E58)/($A60-$A58)</f>
        <v>2.3939999999999966</v>
      </c>
      <c r="L59">
        <f>+(J60-J58)/($A60-$A58)</f>
        <v>3.6</v>
      </c>
      <c r="O59">
        <f>+(M60-M58)/($A60-$A58)</f>
        <v>3.62</v>
      </c>
      <c r="R59">
        <f>+(P60-P58)/($A60-$A58)</f>
        <v>3.66</v>
      </c>
      <c r="U59">
        <f>+(S60-S58)/($A60-$A58)</f>
        <v>3.66</v>
      </c>
      <c r="X59">
        <f>+(V60-V58)/($A60-$A58)</f>
        <v>3.68</v>
      </c>
      <c r="AA59">
        <f>+(Y60-Y58)/($A60-$A58)</f>
        <v>3.66</v>
      </c>
      <c r="AD59">
        <f>+(AB60-AB58)/($A60-$A58)</f>
        <v>3.02</v>
      </c>
      <c r="AG59">
        <f>+(AE60-AE58)/($A60-$A58)</f>
        <v>3.66</v>
      </c>
      <c r="AJ59">
        <f>+(AH60-AH58)/($A60-$A58)</f>
        <v>3.64</v>
      </c>
      <c r="AM59">
        <f>+(AK60-AK58)/($A60-$A58)</f>
        <v>3.64</v>
      </c>
      <c r="AP59">
        <f>+(AN60-AN58)/($A60-$A58)</f>
        <v>3.64</v>
      </c>
      <c r="AS59">
        <f>+(AQ60-AQ58)/($A60-$A58)</f>
        <v>3.62</v>
      </c>
      <c r="AV59">
        <f>+(AT60-AT58)/($A60-$A58)</f>
        <v>3.6</v>
      </c>
      <c r="AX59">
        <f>+(AW60-AW58)/($A60-$A58)</f>
        <v>3.6</v>
      </c>
    </row>
    <row r="60" spans="1:49" ht="12.75">
      <c r="A60">
        <v>900</v>
      </c>
      <c r="B60">
        <v>4397.5</v>
      </c>
      <c r="D60" s="3"/>
      <c r="E60">
        <v>4397.5</v>
      </c>
      <c r="G60" s="3"/>
      <c r="J60">
        <v>3884</v>
      </c>
      <c r="M60">
        <v>3868</v>
      </c>
      <c r="P60">
        <v>3854</v>
      </c>
      <c r="S60">
        <v>3841</v>
      </c>
      <c r="V60">
        <v>3818</v>
      </c>
      <c r="Y60">
        <v>3799</v>
      </c>
      <c r="AB60">
        <v>3211</v>
      </c>
      <c r="AE60">
        <v>3773</v>
      </c>
      <c r="AH60">
        <v>3764</v>
      </c>
      <c r="AK60">
        <v>3758</v>
      </c>
      <c r="AN60">
        <v>3754</v>
      </c>
      <c r="AQ60">
        <v>3751</v>
      </c>
      <c r="AT60">
        <v>3750</v>
      </c>
      <c r="AW60">
        <v>3750</v>
      </c>
    </row>
    <row r="61" spans="4:50" ht="12.75">
      <c r="D61" s="3">
        <f>+(B62-B60)/($A62-$A60)</f>
        <v>2.43</v>
      </c>
      <c r="F61">
        <f>+(D62-D60)/($A62-$A60)</f>
        <v>0</v>
      </c>
      <c r="G61" s="3">
        <f>+(E62-E60)/($A62-$A60)</f>
        <v>2.43</v>
      </c>
      <c r="L61">
        <f>+(J62-J60)/($A62-$A60)</f>
        <v>3.5</v>
      </c>
      <c r="O61">
        <f>+(M62-M60)/($A62-$A60)</f>
        <v>3.52</v>
      </c>
      <c r="R61">
        <f>+(P62-P60)/($A62-$A60)</f>
        <v>3.52</v>
      </c>
      <c r="U61">
        <f>+(S62-S60)/($A62-$A60)</f>
        <v>3.54</v>
      </c>
      <c r="X61">
        <f>+(V62-V60)/($A62-$A60)</f>
        <v>3.56</v>
      </c>
      <c r="AA61">
        <f>+(Y62-Y60)/($A62-$A60)</f>
        <v>3.58</v>
      </c>
      <c r="AD61">
        <f>+(AB62-AB60)/($A62-$A60)</f>
        <v>2.96</v>
      </c>
      <c r="AG61">
        <f>+(AE62-AE60)/($A62-$A60)</f>
        <v>3.58</v>
      </c>
      <c r="AJ61">
        <f>+(AH62-AH60)/($A62-$A60)</f>
        <v>3.58</v>
      </c>
      <c r="AM61">
        <f>+(AK62-AK60)/($A62-$A60)</f>
        <v>3.58</v>
      </c>
      <c r="AP61">
        <f>+(AN62-AN60)/($A62-$A60)</f>
        <v>3.56</v>
      </c>
      <c r="AS61">
        <f>+(AQ62-AQ60)/($A62-$A60)</f>
        <v>3.56</v>
      </c>
      <c r="AV61">
        <f>+(AT62-AT60)/($A62-$A60)</f>
        <v>3.56</v>
      </c>
      <c r="AX61">
        <f>+(AW62-AW60)/($A62-$A60)</f>
        <v>3.56</v>
      </c>
    </row>
    <row r="62" spans="1:49" ht="12.75">
      <c r="A62">
        <v>950</v>
      </c>
      <c r="B62">
        <v>4519</v>
      </c>
      <c r="D62" s="3"/>
      <c r="E62">
        <v>4519</v>
      </c>
      <c r="G62" s="3"/>
      <c r="J62">
        <v>4059</v>
      </c>
      <c r="M62">
        <v>4044</v>
      </c>
      <c r="P62">
        <v>4030</v>
      </c>
      <c r="S62">
        <v>4018</v>
      </c>
      <c r="V62">
        <v>3996</v>
      </c>
      <c r="Y62">
        <v>3978</v>
      </c>
      <c r="AB62">
        <v>3359</v>
      </c>
      <c r="AE62">
        <v>3952</v>
      </c>
      <c r="AH62">
        <v>3943</v>
      </c>
      <c r="AK62">
        <v>3937</v>
      </c>
      <c r="AN62">
        <v>3932</v>
      </c>
      <c r="AQ62">
        <v>3929</v>
      </c>
      <c r="AT62">
        <v>3928</v>
      </c>
      <c r="AW62">
        <v>3928</v>
      </c>
    </row>
    <row r="63" spans="4:50" ht="12.75">
      <c r="D63" s="3">
        <f>+(B64-B62)/($A64-$A62)</f>
        <v>2.4620000000000073</v>
      </c>
      <c r="F63">
        <f>+(D64-D62)/($A64-$A62)</f>
        <v>0</v>
      </c>
      <c r="G63" s="3">
        <f>+(E64-E62)/($A64-$A62)</f>
        <v>2.4620000000000073</v>
      </c>
      <c r="L63">
        <f>+(J64-J62)/($A64-$A62)</f>
        <v>3.4</v>
      </c>
      <c r="O63">
        <f>+(M64-M62)/($A64-$A62)</f>
        <v>3.42</v>
      </c>
      <c r="R63">
        <f>+(P64-P62)/($A64-$A62)</f>
        <v>3.44</v>
      </c>
      <c r="U63">
        <f>+(S64-S62)/($A64-$A62)</f>
        <v>3.46</v>
      </c>
      <c r="X63">
        <f>+(V64-V62)/($A64-$A62)</f>
        <v>3.48</v>
      </c>
      <c r="AA63">
        <f>+(Y64-Y62)/($A64-$A62)</f>
        <v>3.5</v>
      </c>
      <c r="AD63">
        <f>+(AB64-AB62)/($A64-$A62)</f>
        <v>2.88</v>
      </c>
      <c r="AG63">
        <f>+(AE64-AE62)/($A64-$A62)</f>
        <v>3.52</v>
      </c>
      <c r="AJ63">
        <f>+(AH64-AH62)/($A64-$A62)</f>
        <v>3.52</v>
      </c>
      <c r="AM63">
        <f>+(AK64-AK62)/($A64-$A62)</f>
        <v>3.52</v>
      </c>
      <c r="AP63">
        <f>+(AN64-AN62)/($A64-$A62)</f>
        <v>3.52</v>
      </c>
      <c r="AS63">
        <f>+(AQ64-AQ62)/($A64-$A62)</f>
        <v>3.52</v>
      </c>
      <c r="AV63">
        <f>+(AT64-AT62)/($A64-$A62)</f>
        <v>3.5</v>
      </c>
      <c r="AX63">
        <f>+(AW64-AW62)/($A64-$A62)</f>
        <v>3.5</v>
      </c>
    </row>
    <row r="64" spans="1:49" ht="12.75">
      <c r="A64">
        <v>1000</v>
      </c>
      <c r="B64">
        <v>4642.1</v>
      </c>
      <c r="D64" s="3"/>
      <c r="E64">
        <v>4642.1</v>
      </c>
      <c r="G64" s="3"/>
      <c r="J64">
        <v>4229</v>
      </c>
      <c r="M64">
        <v>4215</v>
      </c>
      <c r="P64">
        <v>4202</v>
      </c>
      <c r="S64">
        <v>4191</v>
      </c>
      <c r="V64">
        <v>4170</v>
      </c>
      <c r="Y64">
        <v>4153</v>
      </c>
      <c r="AB64">
        <v>3503</v>
      </c>
      <c r="AE64">
        <v>4128</v>
      </c>
      <c r="AH64">
        <v>4119</v>
      </c>
      <c r="AK64">
        <v>4113</v>
      </c>
      <c r="AN64">
        <v>4108</v>
      </c>
      <c r="AQ64">
        <v>4105</v>
      </c>
      <c r="AT64">
        <v>4103</v>
      </c>
      <c r="AW64">
        <v>4103</v>
      </c>
    </row>
    <row r="65" spans="4:7" ht="12.75">
      <c r="D65" s="3"/>
      <c r="G65" s="3"/>
    </row>
    <row r="66" spans="1:7" ht="12.75">
      <c r="A66">
        <v>1100</v>
      </c>
      <c r="B66">
        <v>4893</v>
      </c>
      <c r="D66" s="3"/>
      <c r="E66">
        <v>4893</v>
      </c>
      <c r="G66" s="3"/>
    </row>
    <row r="67" spans="4:50" ht="12.75">
      <c r="D67" s="3">
        <f>+(B68-B64)/($A68-$A64)</f>
        <v>2.54</v>
      </c>
      <c r="F67">
        <f>+(D68-D64)/($A68-$A64)</f>
        <v>0</v>
      </c>
      <c r="G67" s="3">
        <f>+(E68-E64)/($A68-$A64)</f>
        <v>2.54</v>
      </c>
      <c r="L67">
        <f>+(J68-J64)/($A68-$A64)</f>
        <v>3.245</v>
      </c>
      <c r="O67">
        <f>+(M68-M64)/($A68-$A64)</f>
        <v>3.265</v>
      </c>
      <c r="R67">
        <f>+(P68-P64)/($A68-$A64)</f>
        <v>3.285</v>
      </c>
      <c r="U67">
        <f>+(S68-S64)/($A68-$A64)</f>
        <v>3.295</v>
      </c>
      <c r="X67">
        <f>+(V68-V64)/($A68-$A64)</f>
        <v>3.325</v>
      </c>
      <c r="AA67">
        <f>+(Y68-Y64)/($A68-$A64)</f>
        <v>3.345</v>
      </c>
      <c r="AD67">
        <f>+(AB68-AB64)/($A68-$A64)</f>
        <v>2.745</v>
      </c>
      <c r="AG67">
        <f>+(AE68-AE64)/($A68-$A64)</f>
        <v>3.375</v>
      </c>
      <c r="AJ67">
        <f>+(AH68-AH64)/($A68-$A64)</f>
        <v>3.385</v>
      </c>
      <c r="AM67">
        <f>+(AK68-AK64)/($A68-$A64)</f>
        <v>3.39</v>
      </c>
      <c r="AP67">
        <f>+(AN68-AN64)/($A68-$A64)</f>
        <v>3.395</v>
      </c>
      <c r="AS67">
        <f>+(AQ68-AQ64)/($A68-$A64)</f>
        <v>3.4</v>
      </c>
      <c r="AV67">
        <f>+(AT68-AT64)/($A68-$A64)</f>
        <v>3.405</v>
      </c>
      <c r="AX67">
        <f>+(AW68-AW64)/($A68-$A64)</f>
        <v>3.405</v>
      </c>
    </row>
    <row r="68" spans="1:49" ht="12.75">
      <c r="A68">
        <v>1200</v>
      </c>
      <c r="B68">
        <v>5150.1</v>
      </c>
      <c r="D68" s="3"/>
      <c r="E68">
        <v>5150.1</v>
      </c>
      <c r="G68" s="3"/>
      <c r="J68">
        <v>4878</v>
      </c>
      <c r="M68">
        <v>4868</v>
      </c>
      <c r="P68">
        <v>4859</v>
      </c>
      <c r="S68">
        <v>4850</v>
      </c>
      <c r="V68">
        <v>4835</v>
      </c>
      <c r="Y68">
        <v>4822</v>
      </c>
      <c r="AB68">
        <v>4052</v>
      </c>
      <c r="AE68">
        <v>4803</v>
      </c>
      <c r="AH68">
        <v>4796</v>
      </c>
      <c r="AK68">
        <v>4791</v>
      </c>
      <c r="AN68">
        <v>4787</v>
      </c>
      <c r="AQ68">
        <v>4785</v>
      </c>
      <c r="AT68">
        <v>4784</v>
      </c>
      <c r="AW68">
        <v>4784</v>
      </c>
    </row>
    <row r="69" spans="1:7" ht="12.75">
      <c r="A69">
        <v>1300</v>
      </c>
      <c r="B69">
        <v>5412.7</v>
      </c>
      <c r="D69" s="3"/>
      <c r="E69">
        <v>5412.7</v>
      </c>
      <c r="G69" s="3"/>
    </row>
    <row r="70" spans="4:50" ht="12.75">
      <c r="D70" s="3">
        <f>+(B71-B68)/($A71-$A68)</f>
        <v>2.6529999999999974</v>
      </c>
      <c r="F70">
        <f>+(D71-D68)/($A71-$A68)</f>
        <v>0</v>
      </c>
      <c r="G70" s="3">
        <f>+(E71-E68)/($A71-$A68)</f>
        <v>2.6525</v>
      </c>
      <c r="L70">
        <f>+(J71-J68)/($A71-$A68)</f>
        <v>3.12</v>
      </c>
      <c r="O70">
        <f>+(M71-M68)/($A71-$A68)</f>
        <v>3.135</v>
      </c>
      <c r="R70">
        <f>+(P71-P68)/($A71-$A68)</f>
        <v>3.145</v>
      </c>
      <c r="U70">
        <f>+(S71-S68)/($A71-$A68)</f>
        <v>3.16</v>
      </c>
      <c r="X70">
        <f>+(V71-V68)/($A71-$A68)</f>
        <v>3.185</v>
      </c>
      <c r="AA70">
        <f>+(Y71-Y68)/($A71-$A68)</f>
        <v>3.205</v>
      </c>
      <c r="AD70">
        <f>+(AB71-AB68)/($A71-$A68)</f>
        <v>2.635</v>
      </c>
      <c r="AG70">
        <f>+(AE71-AE68)/($A71-$A68)</f>
        <v>3.235</v>
      </c>
      <c r="AJ70">
        <f>+(AH71-AH68)/($A71-$A68)</f>
        <v>3.25</v>
      </c>
      <c r="AM70">
        <f>+(AK71-AK68)/($A71-$A68)</f>
        <v>3.26</v>
      </c>
      <c r="AP70">
        <f>+(AN71-AN68)/($A71-$A68)</f>
        <v>3.27</v>
      </c>
      <c r="AS70">
        <f>+(AQ71-AQ68)/($A71-$A68)</f>
        <v>3.275</v>
      </c>
      <c r="AV70">
        <f>+(AT71-AT68)/($A71-$A68)</f>
        <v>3.28</v>
      </c>
      <c r="AX70">
        <f>+(AW71-AW68)/($A71-$A68)</f>
        <v>3.29</v>
      </c>
    </row>
    <row r="71" spans="1:49" ht="12.75">
      <c r="A71">
        <v>1400</v>
      </c>
      <c r="B71">
        <v>5680.7</v>
      </c>
      <c r="D71" s="3"/>
      <c r="E71">
        <v>5680.6</v>
      </c>
      <c r="G71" s="3"/>
      <c r="J71">
        <v>5502</v>
      </c>
      <c r="M71">
        <v>5495</v>
      </c>
      <c r="P71">
        <v>5488</v>
      </c>
      <c r="S71">
        <v>5482</v>
      </c>
      <c r="V71">
        <v>5472</v>
      </c>
      <c r="Y71">
        <v>5463</v>
      </c>
      <c r="AB71">
        <v>4579</v>
      </c>
      <c r="AE71">
        <v>5450</v>
      </c>
      <c r="AH71">
        <v>5446</v>
      </c>
      <c r="AK71">
        <v>5443</v>
      </c>
      <c r="AN71">
        <v>5441</v>
      </c>
      <c r="AQ71">
        <v>5440</v>
      </c>
      <c r="AT71">
        <v>5440</v>
      </c>
      <c r="AW71">
        <v>5442</v>
      </c>
    </row>
    <row r="72" spans="1:7" ht="12.75">
      <c r="A72">
        <v>1500</v>
      </c>
      <c r="B72">
        <v>5953.4</v>
      </c>
      <c r="D72" s="3"/>
      <c r="E72">
        <v>5953.4</v>
      </c>
      <c r="G72" s="3"/>
    </row>
    <row r="73" spans="4:50" ht="12.75">
      <c r="D73" s="3">
        <f>+(B74-B71)/($A74-$A71)</f>
        <v>2.749000000000001</v>
      </c>
      <c r="F73">
        <f>+(D74-D71)/($A74-$A71)</f>
        <v>0</v>
      </c>
      <c r="G73" s="3">
        <f>+(E74-E71)/($A74-$A71)</f>
        <v>2.749499999999998</v>
      </c>
      <c r="L73">
        <f>+(J74-J71)/($A74-$A71)</f>
        <v>3.07</v>
      </c>
      <c r="O73">
        <f>+(M74-M71)/($A74-$A71)</f>
        <v>3.085</v>
      </c>
      <c r="R73">
        <f>+(P74-P71)/($A74-$A71)</f>
        <v>3.1</v>
      </c>
      <c r="U73">
        <f>+(S74-S71)/($A74-$A71)</f>
        <v>3.11</v>
      </c>
      <c r="X73">
        <f>+(V74-V71)/($A74-$A71)</f>
        <v>3.125</v>
      </c>
      <c r="AA73">
        <f>+(Y74-Y71)/($A74-$A71)</f>
        <v>3.145</v>
      </c>
      <c r="AD73">
        <f>+(AB74-AB71)/($A74-$A71)</f>
        <v>2.6</v>
      </c>
      <c r="AG73">
        <f>+(AE74-AE71)/($A74-$A71)</f>
        <v>3.175</v>
      </c>
      <c r="AJ73">
        <f>+(AH74-AH71)/($A74-$A71)</f>
        <v>3.185</v>
      </c>
      <c r="AM73">
        <f>+(AK74-AK71)/($A74-$A71)</f>
        <v>3.195</v>
      </c>
      <c r="AP73">
        <f>+(AN74-AN71)/($A74-$A71)</f>
        <v>3.205</v>
      </c>
      <c r="AS73">
        <f>+(AQ74-AQ71)/($A74-$A71)</f>
        <v>3.215</v>
      </c>
      <c r="AV73">
        <f>+(AT74-AT71)/($A74-$A71)</f>
        <v>3.225</v>
      </c>
      <c r="AX73">
        <f>+(AW74-AW71)/($A74-$A71)</f>
        <v>3.225</v>
      </c>
    </row>
    <row r="74" spans="1:49" ht="12.75">
      <c r="A74">
        <v>1600</v>
      </c>
      <c r="B74">
        <v>6230.5</v>
      </c>
      <c r="D74" s="3"/>
      <c r="E74">
        <v>6230.5</v>
      </c>
      <c r="G74" s="3"/>
      <c r="J74">
        <v>6116</v>
      </c>
      <c r="M74">
        <v>6112</v>
      </c>
      <c r="P74">
        <v>6108</v>
      </c>
      <c r="S74">
        <v>6104</v>
      </c>
      <c r="V74">
        <v>6097</v>
      </c>
      <c r="Y74">
        <v>6092</v>
      </c>
      <c r="AB74">
        <v>5099</v>
      </c>
      <c r="AE74">
        <v>6085</v>
      </c>
      <c r="AH74">
        <v>6083</v>
      </c>
      <c r="AK74">
        <v>6082</v>
      </c>
      <c r="AN74">
        <v>6082</v>
      </c>
      <c r="AQ74">
        <v>6083</v>
      </c>
      <c r="AT74">
        <v>6085</v>
      </c>
      <c r="AW74">
        <v>6087</v>
      </c>
    </row>
    <row r="75" spans="1:7" ht="12.75">
      <c r="A75">
        <v>1700</v>
      </c>
      <c r="B75">
        <v>6511.7</v>
      </c>
      <c r="D75" s="3"/>
      <c r="E75">
        <v>6511.7</v>
      </c>
      <c r="G75" s="3"/>
    </row>
    <row r="76" spans="4:50" ht="12.75">
      <c r="D76" s="3">
        <f>+(B77-B74)/($A77-$A74)</f>
        <v>2.830999999999999</v>
      </c>
      <c r="F76">
        <f>+(D77-D74)/($A77-$A74)</f>
        <v>0</v>
      </c>
      <c r="G76" s="3">
        <f>+(E77-E74)/($A77-$A74)</f>
        <v>2.830999999999999</v>
      </c>
      <c r="L76">
        <f>+(J77-J74)/($A77-$A74)</f>
        <v>3.065</v>
      </c>
      <c r="O76">
        <f>+(M77-M74)/($A77-$A74)</f>
        <v>3.075</v>
      </c>
      <c r="R76">
        <f>+(P77-P74)/($A77-$A74)</f>
        <v>3.085</v>
      </c>
      <c r="U76">
        <f>+(S77-S74)/($A77-$A74)</f>
        <v>3.095</v>
      </c>
      <c r="X76">
        <f>+(V77-V74)/($A77-$A74)</f>
        <v>3.115</v>
      </c>
      <c r="AA76">
        <f>+(Y77-Y74)/($A77-$A74)</f>
        <v>3.125</v>
      </c>
      <c r="AD76">
        <f>+(AB77-AB74)/($A77-$A74)</f>
        <v>2.595</v>
      </c>
      <c r="AG76">
        <f>+(AE77-AE74)/($A77-$A74)</f>
        <v>3.15</v>
      </c>
      <c r="AJ76">
        <f>+(AH77-AH74)/($A77-$A74)</f>
        <v>3.16</v>
      </c>
      <c r="AM76">
        <f>+(AK77-AK74)/($A77-$A74)</f>
        <v>3.17</v>
      </c>
      <c r="AP76">
        <f>+(AN77-AN74)/($A77-$A74)</f>
        <v>3.18</v>
      </c>
      <c r="AS76">
        <f>+(AQ77-AQ74)/($A77-$A74)</f>
        <v>3.185</v>
      </c>
      <c r="AV76">
        <f>+(AT77-AT74)/($A77-$A74)</f>
        <v>3.19</v>
      </c>
      <c r="AX76">
        <f>+(AW77-AW74)/($A77-$A74)</f>
        <v>3.21</v>
      </c>
    </row>
    <row r="77" spans="1:49" ht="12.75">
      <c r="A77">
        <v>1800</v>
      </c>
      <c r="B77">
        <v>6796.7</v>
      </c>
      <c r="D77" s="3"/>
      <c r="E77">
        <v>6796.7</v>
      </c>
      <c r="G77" s="3"/>
      <c r="J77">
        <v>6729</v>
      </c>
      <c r="M77">
        <v>6727</v>
      </c>
      <c r="P77">
        <v>6725</v>
      </c>
      <c r="S77">
        <v>6723</v>
      </c>
      <c r="V77">
        <v>6720</v>
      </c>
      <c r="Y77">
        <v>6717</v>
      </c>
      <c r="AB77">
        <v>5618</v>
      </c>
      <c r="AE77">
        <v>6715</v>
      </c>
      <c r="AH77">
        <v>6715</v>
      </c>
      <c r="AK77">
        <v>6716</v>
      </c>
      <c r="AN77">
        <v>6718</v>
      </c>
      <c r="AQ77">
        <v>6720</v>
      </c>
      <c r="AT77">
        <v>6723</v>
      </c>
      <c r="AW77">
        <v>6729</v>
      </c>
    </row>
    <row r="78" spans="1:7" ht="12.75">
      <c r="A78">
        <v>1900</v>
      </c>
      <c r="B78">
        <v>7085.1</v>
      </c>
      <c r="D78" s="3"/>
      <c r="E78">
        <v>7085.1</v>
      </c>
      <c r="G78" s="3"/>
    </row>
    <row r="79" spans="1:50" ht="12.75">
      <c r="A79">
        <f>-H80/H79*100+A80</f>
        <v>1995.644718792867</v>
      </c>
      <c r="D79" s="3">
        <f>+(B80-B77)/($A80-$A77)</f>
        <v>2.9</v>
      </c>
      <c r="F79">
        <f>+(D80-D77)/($A80-$A77)</f>
        <v>0</v>
      </c>
      <c r="G79" s="3">
        <f>+(E80-E77)/($A80-$A77)</f>
        <v>2.9</v>
      </c>
      <c r="H79">
        <f>+E80-E78</f>
        <v>291.59999999999945</v>
      </c>
      <c r="L79">
        <f>+(J80-J77)/($A80-$A77)</f>
        <v>3.08</v>
      </c>
      <c r="O79">
        <f>+(M80-M77)/($A80-$A77)</f>
        <v>3.085</v>
      </c>
      <c r="R79">
        <f>+(P80-P77)/($A80-$A77)</f>
        <v>3.09</v>
      </c>
      <c r="U79">
        <f>+(S80-S77)/($A80-$A77)</f>
        <v>3.1</v>
      </c>
      <c r="X79">
        <f>+(V80-V77)/($A80-$A77)</f>
        <v>3.11</v>
      </c>
      <c r="AA79">
        <f>+(Y80-Y77)/($A80-$A77)</f>
        <v>3.125</v>
      </c>
      <c r="AD79">
        <f>+(AB80-AB77)/($A80-$A77)</f>
        <v>2.605</v>
      </c>
      <c r="AG79">
        <f>+(AE80-AE77)/($A80-$A77)</f>
        <v>3.145</v>
      </c>
      <c r="AJ79">
        <f>+(AH80-AH77)/($A80-$A77)</f>
        <v>3.155</v>
      </c>
      <c r="AM79">
        <f>+(AK80-AK77)/($A80-$A77)</f>
        <v>3.165</v>
      </c>
      <c r="AP79">
        <f>+(AN80-AN77)/($A80-$A77)</f>
        <v>3.17</v>
      </c>
      <c r="AS79">
        <f>+(AQ80-AQ77)/($A80-$A77)</f>
        <v>3.175</v>
      </c>
      <c r="AV79">
        <f>+(AT80-AT77)/($A80-$A77)</f>
        <v>3.185</v>
      </c>
      <c r="AX79">
        <f>+(AW80-AW77)/($A80-$A77)</f>
        <v>3.175</v>
      </c>
    </row>
    <row r="80" spans="1:49" ht="12.75">
      <c r="A80">
        <v>2000</v>
      </c>
      <c r="B80">
        <v>7376.7</v>
      </c>
      <c r="D80" s="3"/>
      <c r="E80">
        <v>7376.7</v>
      </c>
      <c r="H80">
        <f>+E80-AW80</f>
        <v>12.699999999999818</v>
      </c>
      <c r="J80">
        <v>7345</v>
      </c>
      <c r="M80">
        <v>7344</v>
      </c>
      <c r="P80">
        <v>7343</v>
      </c>
      <c r="S80">
        <v>7343</v>
      </c>
      <c r="V80">
        <v>7342</v>
      </c>
      <c r="Y80">
        <v>7342</v>
      </c>
      <c r="AB80">
        <v>6139</v>
      </c>
      <c r="AE80">
        <v>7344</v>
      </c>
      <c r="AH80">
        <v>7346</v>
      </c>
      <c r="AK80">
        <v>7349</v>
      </c>
      <c r="AN80">
        <v>7352</v>
      </c>
      <c r="AQ80">
        <v>7355</v>
      </c>
      <c r="AT80">
        <v>7360</v>
      </c>
      <c r="AW80">
        <v>7364</v>
      </c>
    </row>
    <row r="81" spans="4:53" ht="12.75">
      <c r="D81" s="3">
        <f>AVERAGE(D71:D79)</f>
        <v>2.8266666666666667</v>
      </c>
      <c r="F81" s="3">
        <f>AVERAGE(F71:F79)</f>
        <v>0</v>
      </c>
      <c r="G81" s="3">
        <f>AVERAGE(G71:G79)</f>
        <v>2.8268333333333326</v>
      </c>
      <c r="L81" s="3">
        <f>AVERAGE(L71:L79)</f>
        <v>3.0716666666666668</v>
      </c>
      <c r="M81" s="3"/>
      <c r="N81" s="3"/>
      <c r="O81" s="3">
        <f>AVERAGE(O71:O79)</f>
        <v>3.081666666666667</v>
      </c>
      <c r="P81" s="3"/>
      <c r="Q81" s="3"/>
      <c r="R81" s="3">
        <f>AVERAGE(R71:R79)</f>
        <v>3.091666666666667</v>
      </c>
      <c r="S81" s="3"/>
      <c r="T81" s="3"/>
      <c r="U81" s="3">
        <f>AVERAGE(U71:U79)</f>
        <v>3.1016666666666666</v>
      </c>
      <c r="V81" s="3"/>
      <c r="W81" s="3"/>
      <c r="X81" s="3">
        <f>AVERAGE(X71:X79)</f>
        <v>3.1166666666666667</v>
      </c>
      <c r="Y81" s="3"/>
      <c r="Z81" s="3"/>
      <c r="AA81" s="3">
        <f>AVERAGE(AA71:AA79)</f>
        <v>3.1316666666666664</v>
      </c>
      <c r="AB81" s="3"/>
      <c r="AC81" s="3"/>
      <c r="AD81" s="3">
        <f>AVERAGE(AD71:AD79)</f>
        <v>2.6</v>
      </c>
      <c r="AE81" s="3"/>
      <c r="AF81" s="3"/>
      <c r="AG81" s="3">
        <f>AVERAGE(AG71:AG79)</f>
        <v>3.1566666666666663</v>
      </c>
      <c r="AH81" s="3"/>
      <c r="AI81" s="3"/>
      <c r="AJ81" s="3">
        <f>AVERAGE(AJ71:AJ79)</f>
        <v>3.1666666666666665</v>
      </c>
      <c r="AK81" s="3"/>
      <c r="AL81" s="3"/>
      <c r="AM81" s="3">
        <f>AVERAGE(AM71:AM79)</f>
        <v>3.176666666666667</v>
      </c>
      <c r="AN81" s="3"/>
      <c r="AO81" s="3"/>
      <c r="AP81" s="3">
        <f>AVERAGE(AP71:AP79)</f>
        <v>3.185</v>
      </c>
      <c r="AQ81" s="3"/>
      <c r="AR81" s="3"/>
      <c r="AS81" s="3">
        <f>AVERAGE(AS71:AS79)</f>
        <v>3.1916666666666664</v>
      </c>
      <c r="AT81" s="3"/>
      <c r="AU81" s="3"/>
      <c r="AV81" s="3">
        <f>AVERAGE(AV71:AV79)</f>
        <v>3.1999999999999997</v>
      </c>
      <c r="AW81" s="3"/>
      <c r="AX81" s="3">
        <f>AVERAGE(AX71:AX79)</f>
        <v>3.203333333333333</v>
      </c>
      <c r="AY81" s="3">
        <f>AVERAGE(L81:AX81)</f>
        <v>3.1053571428571436</v>
      </c>
      <c r="AZ81" s="12">
        <f>STDEV(L81:AX81)</f>
        <v>0.15239845795737042</v>
      </c>
      <c r="BA81" s="3">
        <f>+AZ81/AY81*100</f>
        <v>4.907598416108534</v>
      </c>
    </row>
    <row r="82" spans="1:53" ht="12.75">
      <c r="A82" s="12"/>
      <c r="B82" s="12"/>
      <c r="C82" s="12"/>
      <c r="D82" s="12">
        <f>STDEV(D70:D79)</f>
        <v>0.10653442323181075</v>
      </c>
      <c r="E82" s="12"/>
      <c r="F82" s="12">
        <f>STDEV(F70:F79)</f>
        <v>0</v>
      </c>
      <c r="G82" s="12">
        <f>STDEV(G70:G79)</f>
        <v>0.10668528483347907</v>
      </c>
      <c r="H82" s="12"/>
      <c r="I82" s="12"/>
      <c r="J82" s="12"/>
      <c r="K82" s="12"/>
      <c r="L82" s="12">
        <f>STDEV(L70:L79)</f>
        <v>0.024958298553119988</v>
      </c>
      <c r="M82" s="12"/>
      <c r="N82" s="12"/>
      <c r="O82" s="12">
        <f>STDEV(O70:O79)</f>
        <v>0.027080128015453064</v>
      </c>
      <c r="P82" s="12"/>
      <c r="Q82" s="12"/>
      <c r="R82" s="12">
        <f>STDEV(R70:R79)</f>
        <v>0.027386127875258345</v>
      </c>
      <c r="S82" s="12"/>
      <c r="T82" s="12"/>
      <c r="U82" s="12">
        <f>STDEV(U70:U79)</f>
        <v>0.02982588361362215</v>
      </c>
      <c r="V82" s="12"/>
      <c r="W82" s="12"/>
      <c r="X82" s="12">
        <f>STDEV(X70:X79)</f>
        <v>0.03473110997362453</v>
      </c>
      <c r="Y82" s="12"/>
      <c r="Z82" s="12"/>
      <c r="AA82" s="12">
        <f>STDEV(AA70:AA79)</f>
        <v>0.03785938897200186</v>
      </c>
      <c r="AB82" s="12"/>
      <c r="AC82" s="12"/>
      <c r="AD82" s="12">
        <f>STDEV(AD70:AD79)</f>
        <v>0.017969882210706355</v>
      </c>
      <c r="AE82" s="12"/>
      <c r="AF82" s="12"/>
      <c r="AG82" s="12">
        <f>STDEV(AG70:AG79)</f>
        <v>0.041306779104645724</v>
      </c>
      <c r="AH82" s="12"/>
      <c r="AI82" s="12"/>
      <c r="AJ82" s="12">
        <f>STDEV(AJ70:AJ79)</f>
        <v>0.04368447474027054</v>
      </c>
      <c r="AK82" s="12"/>
      <c r="AL82" s="12"/>
      <c r="AM82" s="12">
        <f>STDEV(AM70:AM79)</f>
        <v>0.04368447474027043</v>
      </c>
      <c r="AN82" s="12"/>
      <c r="AO82" s="12"/>
      <c r="AP82" s="12">
        <f>STDEV(AP70:AP79)</f>
        <v>0.04497684589504545</v>
      </c>
      <c r="AQ82" s="12"/>
      <c r="AR82" s="12"/>
      <c r="AS82" s="12">
        <f>STDEV(AS70:AS79)</f>
        <v>0.04499999999999999</v>
      </c>
      <c r="AT82" s="12"/>
      <c r="AU82" s="12"/>
      <c r="AV82" s="12">
        <f>STDEV(AV70:AV79)</f>
        <v>0.04377975178854557</v>
      </c>
      <c r="AW82" s="12"/>
      <c r="AX82" s="12">
        <f>STDEV(AX70:AX79)</f>
        <v>0.04813176359397892</v>
      </c>
      <c r="AY82" s="12">
        <f>AVERAGE(L82:AX82)</f>
        <v>0.036455350648324496</v>
      </c>
      <c r="AZ82" s="12">
        <f>STDEV(L82:AX82)</f>
        <v>0.009432365424463083</v>
      </c>
      <c r="BA82" s="3">
        <f>+AZ82/AY82*100</f>
        <v>25.873747630230508</v>
      </c>
    </row>
    <row r="83" spans="1:53" ht="13.5" thickBot="1">
      <c r="A83" s="14"/>
      <c r="B83" s="14"/>
      <c r="C83" s="14"/>
      <c r="D83" s="14">
        <f>+D82/D81*100</f>
        <v>3.7689064822574556</v>
      </c>
      <c r="E83" s="14"/>
      <c r="F83" s="14" t="e">
        <f>+F82/F81*100</f>
        <v>#DIV/0!</v>
      </c>
      <c r="G83" s="14">
        <f>+G82/G81*100</f>
        <v>3.774021042396525</v>
      </c>
      <c r="H83" s="14"/>
      <c r="I83" s="14"/>
      <c r="J83" s="14"/>
      <c r="K83" s="14"/>
      <c r="L83" s="14">
        <f>+L82/L81*100</f>
        <v>0.8125327798085726</v>
      </c>
      <c r="M83" s="14"/>
      <c r="N83" s="14"/>
      <c r="O83" s="14">
        <f>+O82/O81*100</f>
        <v>0.8787494218102669</v>
      </c>
      <c r="P83" s="14"/>
      <c r="Q83" s="14"/>
      <c r="R83" s="14">
        <f>+R82/R81*100</f>
        <v>0.8858046752105124</v>
      </c>
      <c r="S83" s="14"/>
      <c r="T83" s="14"/>
      <c r="U83" s="14">
        <f>+U82/U81*100</f>
        <v>0.961608284157619</v>
      </c>
      <c r="V83" s="14"/>
      <c r="W83" s="14"/>
      <c r="X83" s="14">
        <f>+X82/X81*100</f>
        <v>1.1143671649291294</v>
      </c>
      <c r="Y83" s="14"/>
      <c r="Z83" s="14"/>
      <c r="AA83" s="14">
        <f>+AA82/AA81*100</f>
        <v>1.2089214147525875</v>
      </c>
      <c r="AB83" s="14"/>
      <c r="AC83" s="14"/>
      <c r="AD83" s="14">
        <f>+AD82/AD81*100</f>
        <v>0.6911493157963983</v>
      </c>
      <c r="AE83" s="14"/>
      <c r="AF83" s="14"/>
      <c r="AG83" s="14">
        <f>+AG82/AG81*100</f>
        <v>1.3085568882147538</v>
      </c>
      <c r="AH83" s="14"/>
      <c r="AI83" s="14"/>
      <c r="AJ83" s="14">
        <f>+AJ82/AJ81*100</f>
        <v>1.3795097286401223</v>
      </c>
      <c r="AK83" s="14"/>
      <c r="AL83" s="14"/>
      <c r="AM83" s="14">
        <f>+AM82/AM81*100</f>
        <v>1.3751670957063094</v>
      </c>
      <c r="AN83" s="14"/>
      <c r="AO83" s="14"/>
      <c r="AP83" s="14">
        <f>+AP82/AP81*100</f>
        <v>1.412145867976309</v>
      </c>
      <c r="AQ83" s="14"/>
      <c r="AR83" s="14"/>
      <c r="AS83" s="14">
        <f>+AS82/AS81*100</f>
        <v>1.4099216710182767</v>
      </c>
      <c r="AT83" s="14"/>
      <c r="AU83" s="14"/>
      <c r="AV83" s="14">
        <f>+AV82/AV81*100</f>
        <v>1.3681172433920492</v>
      </c>
      <c r="AW83" s="14"/>
      <c r="AX83" s="14">
        <f>+AX82/AX81*100</f>
        <v>1.502552453506106</v>
      </c>
      <c r="AY83" s="14">
        <f>AVERAGE(L83:AX83)</f>
        <v>1.1649360003513578</v>
      </c>
      <c r="AZ83" s="15">
        <f>STDEV(L83:AX83)</f>
        <v>0.26912638336422345</v>
      </c>
      <c r="BA83" s="14">
        <f>+AZ83/AY83*100</f>
        <v>23.10224624211561</v>
      </c>
    </row>
    <row r="84" spans="1:51" ht="12.75">
      <c r="A84">
        <f>+A80+100</f>
        <v>2100</v>
      </c>
      <c r="B84" s="13">
        <f>+B80+D81*($A84-$A80)</f>
        <v>7659.366666666667</v>
      </c>
      <c r="E84" s="13">
        <f>+E80+G81*($A84-$A80)</f>
        <v>7659.383333333333</v>
      </c>
      <c r="J84" s="13">
        <f>+J80+L81*($A84-$A80)</f>
        <v>7652.166666666667</v>
      </c>
      <c r="K84" s="13"/>
      <c r="M84" s="13">
        <f>+M80+O81*($A84-$A80)</f>
        <v>7652.166666666667</v>
      </c>
      <c r="N84" s="13"/>
      <c r="P84" s="13">
        <f>+P80+R81*($A84-$A80)</f>
        <v>7652.166666666667</v>
      </c>
      <c r="Q84" s="13"/>
      <c r="S84" s="13">
        <f>+S80+U81*($A84-$A80)</f>
        <v>7653.166666666667</v>
      </c>
      <c r="T84" s="13"/>
      <c r="V84" s="13">
        <f>+V80+X81*($A84-$A80)</f>
        <v>7653.666666666667</v>
      </c>
      <c r="W84" s="13"/>
      <c r="Y84" s="13">
        <f>+Y80+AA81*($A84-$A80)</f>
        <v>7655.166666666667</v>
      </c>
      <c r="Z84" s="13"/>
      <c r="AB84" s="13">
        <f>+AB80+AD81*($A84-$A80)</f>
        <v>6399</v>
      </c>
      <c r="AC84" s="13"/>
      <c r="AE84" s="13">
        <f>+AE80+AG81*($A84-$A80)</f>
        <v>7659.666666666667</v>
      </c>
      <c r="AF84" s="13"/>
      <c r="AH84" s="13">
        <f>+AH80+AJ81*($A84-$A80)</f>
        <v>7662.666666666667</v>
      </c>
      <c r="AI84" s="13"/>
      <c r="AK84" s="13">
        <f>+AK80+AM81*($A84-$A80)</f>
        <v>7666.666666666667</v>
      </c>
      <c r="AL84" s="13"/>
      <c r="AN84" s="13">
        <f>+AN80+AP81*($A84-$A80)</f>
        <v>7670.5</v>
      </c>
      <c r="AO84" s="13"/>
      <c r="AQ84" s="13">
        <f>+AQ80+AS81*($A84-$A80)</f>
        <v>7674.166666666667</v>
      </c>
      <c r="AR84" s="13"/>
      <c r="AT84" s="13">
        <f>+AT80+AV81*($A84-$A80)</f>
        <v>7680</v>
      </c>
      <c r="AU84" s="13"/>
      <c r="AW84" s="13">
        <f>+AW80+AX81*($A84-$A80)</f>
        <v>7684.333333333333</v>
      </c>
      <c r="AX84" s="13"/>
      <c r="AY84" s="13"/>
    </row>
    <row r="85" spans="1:51" ht="12.75">
      <c r="A85">
        <f>+A84+100</f>
        <v>2200</v>
      </c>
      <c r="B85" s="13">
        <f aca="true" t="shared" si="5" ref="B85:B103">+B84+D$81*($A85-$A84)</f>
        <v>7942.033333333334</v>
      </c>
      <c r="E85" s="13">
        <f aca="true" t="shared" si="6" ref="E85:E103">+E84+G$81*($A85-$A84)</f>
        <v>7942.066666666667</v>
      </c>
      <c r="J85" s="13">
        <f aca="true" t="shared" si="7" ref="J85:J103">+J84+L$81*($A85-$A84)</f>
        <v>7959.333333333334</v>
      </c>
      <c r="K85" s="13"/>
      <c r="M85" s="13">
        <f aca="true" t="shared" si="8" ref="M85:M103">+M84+O$81*($A85-$A84)</f>
        <v>7960.333333333334</v>
      </c>
      <c r="N85" s="13"/>
      <c r="P85" s="13">
        <f aca="true" t="shared" si="9" ref="P85:P103">+P84+R$81*($A85-$A84)</f>
        <v>7961.333333333334</v>
      </c>
      <c r="Q85" s="13"/>
      <c r="S85" s="13">
        <f aca="true" t="shared" si="10" ref="S85:S103">+S84+U$81*($A85-$A84)</f>
        <v>7963.333333333334</v>
      </c>
      <c r="T85" s="13"/>
      <c r="V85" s="13">
        <f aca="true" t="shared" si="11" ref="V85:V103">+V84+X$81*($A85-$A84)</f>
        <v>7965.333333333334</v>
      </c>
      <c r="W85" s="13"/>
      <c r="Y85" s="13">
        <f aca="true" t="shared" si="12" ref="Y85:Y103">+Y84+AA$81*($A85-$A84)</f>
        <v>7968.333333333334</v>
      </c>
      <c r="Z85" s="13"/>
      <c r="AB85" s="13">
        <f aca="true" t="shared" si="13" ref="AB85:AB103">+AB84+AD$81*($A85-$A84)</f>
        <v>6659</v>
      </c>
      <c r="AC85" s="13"/>
      <c r="AE85" s="13">
        <f aca="true" t="shared" si="14" ref="AE85:AE103">+AE84+AG$81*($A85-$A84)</f>
        <v>7975.333333333334</v>
      </c>
      <c r="AF85" s="13"/>
      <c r="AH85" s="13">
        <f aca="true" t="shared" si="15" ref="AH85:AH103">+AH84+AJ$81*($A85-$A84)</f>
        <v>7979.333333333334</v>
      </c>
      <c r="AI85" s="13"/>
      <c r="AK85" s="13">
        <f aca="true" t="shared" si="16" ref="AK85:AK103">+AK84+AM$81*($A85-$A84)</f>
        <v>7984.333333333334</v>
      </c>
      <c r="AL85" s="13"/>
      <c r="AN85" s="13">
        <f aca="true" t="shared" si="17" ref="AN85:AN103">+AN84+AP$81*($A85-$A84)</f>
        <v>7989</v>
      </c>
      <c r="AO85" s="13"/>
      <c r="AQ85" s="13">
        <f aca="true" t="shared" si="18" ref="AQ85:AQ103">+AQ84+AS$81*($A85-$A84)</f>
        <v>7993.333333333334</v>
      </c>
      <c r="AR85" s="13"/>
      <c r="AT85" s="13">
        <f aca="true" t="shared" si="19" ref="AT85:AT103">+AT84+AV$81*($A85-$A84)</f>
        <v>8000</v>
      </c>
      <c r="AU85" s="13"/>
      <c r="AW85" s="13">
        <f>+AW84+AX$81*($A85-$A84)</f>
        <v>8004.666666666666</v>
      </c>
      <c r="AX85" s="13"/>
      <c r="AY85" s="13"/>
    </row>
    <row r="86" spans="1:51" ht="12.75">
      <c r="A86">
        <f aca="true" t="shared" si="20" ref="A86:A103">+A85+100</f>
        <v>2300</v>
      </c>
      <c r="B86" s="13">
        <f t="shared" si="5"/>
        <v>8224.7</v>
      </c>
      <c r="E86" s="13">
        <f t="shared" si="6"/>
        <v>8224.75</v>
      </c>
      <c r="J86" s="13">
        <f t="shared" si="7"/>
        <v>8266.5</v>
      </c>
      <c r="K86" s="13"/>
      <c r="M86" s="13">
        <f t="shared" si="8"/>
        <v>8268.5</v>
      </c>
      <c r="N86" s="13"/>
      <c r="P86" s="13">
        <f t="shared" si="9"/>
        <v>8270.5</v>
      </c>
      <c r="Q86" s="13"/>
      <c r="S86" s="13">
        <f t="shared" si="10"/>
        <v>8273.5</v>
      </c>
      <c r="T86" s="13"/>
      <c r="V86" s="13">
        <f t="shared" si="11"/>
        <v>8277</v>
      </c>
      <c r="W86" s="13"/>
      <c r="Y86" s="13">
        <f t="shared" si="12"/>
        <v>8281.5</v>
      </c>
      <c r="Z86" s="13"/>
      <c r="AB86" s="13">
        <f t="shared" si="13"/>
        <v>6919</v>
      </c>
      <c r="AC86" s="13"/>
      <c r="AE86" s="13">
        <f t="shared" si="14"/>
        <v>8291</v>
      </c>
      <c r="AF86" s="13"/>
      <c r="AH86" s="13">
        <f t="shared" si="15"/>
        <v>8296</v>
      </c>
      <c r="AI86" s="13"/>
      <c r="AK86" s="13">
        <f t="shared" si="16"/>
        <v>8302</v>
      </c>
      <c r="AL86" s="13"/>
      <c r="AN86" s="13">
        <f t="shared" si="17"/>
        <v>8307.5</v>
      </c>
      <c r="AO86" s="13"/>
      <c r="AQ86" s="13">
        <f t="shared" si="18"/>
        <v>8312.5</v>
      </c>
      <c r="AR86" s="13"/>
      <c r="AT86" s="13">
        <f t="shared" si="19"/>
        <v>8320</v>
      </c>
      <c r="AU86" s="13"/>
      <c r="AW86" s="13">
        <f aca="true" t="shared" si="21" ref="AW86:AW103">+AW85+AX$81*($A86-$A85)</f>
        <v>8325</v>
      </c>
      <c r="AX86" s="13"/>
      <c r="AY86" s="13"/>
    </row>
    <row r="87" spans="1:51" ht="12.75">
      <c r="A87">
        <f t="shared" si="20"/>
        <v>2400</v>
      </c>
      <c r="B87" s="13">
        <f t="shared" si="5"/>
        <v>8507.366666666667</v>
      </c>
      <c r="E87" s="13">
        <f t="shared" si="6"/>
        <v>8507.433333333332</v>
      </c>
      <c r="J87" s="13">
        <f t="shared" si="7"/>
        <v>8573.666666666666</v>
      </c>
      <c r="K87" s="13"/>
      <c r="M87" s="13">
        <f t="shared" si="8"/>
        <v>8576.666666666666</v>
      </c>
      <c r="N87" s="13"/>
      <c r="P87" s="13">
        <f t="shared" si="9"/>
        <v>8579.666666666666</v>
      </c>
      <c r="Q87" s="13"/>
      <c r="S87" s="13">
        <f t="shared" si="10"/>
        <v>8583.666666666666</v>
      </c>
      <c r="T87" s="13"/>
      <c r="V87" s="13">
        <f t="shared" si="11"/>
        <v>8588.666666666666</v>
      </c>
      <c r="W87" s="13"/>
      <c r="Y87" s="13">
        <f t="shared" si="12"/>
        <v>8594.666666666666</v>
      </c>
      <c r="Z87" s="13"/>
      <c r="AB87" s="13">
        <f t="shared" si="13"/>
        <v>7179</v>
      </c>
      <c r="AC87" s="13"/>
      <c r="AE87" s="13">
        <f t="shared" si="14"/>
        <v>8606.666666666666</v>
      </c>
      <c r="AF87" s="13"/>
      <c r="AH87" s="13">
        <f t="shared" si="15"/>
        <v>8612.666666666666</v>
      </c>
      <c r="AI87" s="13"/>
      <c r="AK87" s="13">
        <f t="shared" si="16"/>
        <v>8619.666666666666</v>
      </c>
      <c r="AL87" s="13"/>
      <c r="AN87" s="13">
        <f t="shared" si="17"/>
        <v>8626</v>
      </c>
      <c r="AO87" s="13"/>
      <c r="AQ87" s="13">
        <f t="shared" si="18"/>
        <v>8631.666666666666</v>
      </c>
      <c r="AR87" s="13"/>
      <c r="AT87" s="13">
        <f t="shared" si="19"/>
        <v>8640</v>
      </c>
      <c r="AU87" s="13"/>
      <c r="AW87" s="13">
        <f t="shared" si="21"/>
        <v>8645.333333333334</v>
      </c>
      <c r="AX87" s="13"/>
      <c r="AY87" s="13"/>
    </row>
    <row r="88" spans="1:51" ht="12.75">
      <c r="A88">
        <f t="shared" si="20"/>
        <v>2500</v>
      </c>
      <c r="B88" s="13">
        <f t="shared" si="5"/>
        <v>8790.033333333333</v>
      </c>
      <c r="E88" s="13">
        <f t="shared" si="6"/>
        <v>8790.116666666665</v>
      </c>
      <c r="J88" s="13">
        <f t="shared" si="7"/>
        <v>8880.833333333332</v>
      </c>
      <c r="K88" s="13"/>
      <c r="M88" s="13">
        <f t="shared" si="8"/>
        <v>8884.833333333332</v>
      </c>
      <c r="N88" s="13"/>
      <c r="P88" s="13">
        <f t="shared" si="9"/>
        <v>8888.833333333332</v>
      </c>
      <c r="Q88" s="13"/>
      <c r="S88" s="13">
        <f t="shared" si="10"/>
        <v>8893.833333333332</v>
      </c>
      <c r="T88" s="13"/>
      <c r="V88" s="13">
        <f t="shared" si="11"/>
        <v>8900.333333333332</v>
      </c>
      <c r="W88" s="13"/>
      <c r="Y88" s="13">
        <f t="shared" si="12"/>
        <v>8907.833333333332</v>
      </c>
      <c r="Z88" s="13"/>
      <c r="AB88" s="13">
        <f t="shared" si="13"/>
        <v>7439</v>
      </c>
      <c r="AC88" s="13"/>
      <c r="AE88" s="13">
        <f t="shared" si="14"/>
        <v>8922.333333333332</v>
      </c>
      <c r="AF88" s="13"/>
      <c r="AH88" s="13">
        <f t="shared" si="15"/>
        <v>8929.333333333332</v>
      </c>
      <c r="AI88" s="13"/>
      <c r="AK88" s="13">
        <f t="shared" si="16"/>
        <v>8937.333333333332</v>
      </c>
      <c r="AL88" s="13"/>
      <c r="AN88" s="13">
        <f t="shared" si="17"/>
        <v>8944.5</v>
      </c>
      <c r="AO88" s="13"/>
      <c r="AQ88" s="13">
        <f t="shared" si="18"/>
        <v>8950.833333333332</v>
      </c>
      <c r="AR88" s="13"/>
      <c r="AT88" s="13">
        <f t="shared" si="19"/>
        <v>8960</v>
      </c>
      <c r="AU88" s="13"/>
      <c r="AW88" s="13">
        <f t="shared" si="21"/>
        <v>8965.666666666668</v>
      </c>
      <c r="AX88" s="13"/>
      <c r="AY88" s="13"/>
    </row>
    <row r="89" spans="1:51" ht="12.75">
      <c r="A89">
        <f t="shared" si="20"/>
        <v>2600</v>
      </c>
      <c r="B89" s="13">
        <f t="shared" si="5"/>
        <v>9072.699999999999</v>
      </c>
      <c r="E89" s="13">
        <f t="shared" si="6"/>
        <v>9072.799999999997</v>
      </c>
      <c r="J89" s="13">
        <f t="shared" si="7"/>
        <v>9187.999999999998</v>
      </c>
      <c r="K89" s="13"/>
      <c r="M89" s="13">
        <f t="shared" si="8"/>
        <v>9192.999999999998</v>
      </c>
      <c r="N89" s="13"/>
      <c r="P89" s="13">
        <f t="shared" si="9"/>
        <v>9197.999999999998</v>
      </c>
      <c r="Q89" s="13"/>
      <c r="S89" s="13">
        <f t="shared" si="10"/>
        <v>9203.999999999998</v>
      </c>
      <c r="T89" s="13"/>
      <c r="V89" s="13">
        <f t="shared" si="11"/>
        <v>9211.999999999998</v>
      </c>
      <c r="W89" s="13"/>
      <c r="Y89" s="13">
        <f t="shared" si="12"/>
        <v>9220.999999999998</v>
      </c>
      <c r="Z89" s="13"/>
      <c r="AB89" s="13">
        <f t="shared" si="13"/>
        <v>7699</v>
      </c>
      <c r="AC89" s="13"/>
      <c r="AE89" s="13">
        <f t="shared" si="14"/>
        <v>9237.999999999998</v>
      </c>
      <c r="AF89" s="13"/>
      <c r="AH89" s="13">
        <f t="shared" si="15"/>
        <v>9245.999999999998</v>
      </c>
      <c r="AI89" s="13"/>
      <c r="AK89" s="13">
        <f t="shared" si="16"/>
        <v>9254.999999999998</v>
      </c>
      <c r="AL89" s="13"/>
      <c r="AN89" s="13">
        <f t="shared" si="17"/>
        <v>9263</v>
      </c>
      <c r="AO89" s="13"/>
      <c r="AQ89" s="13">
        <f t="shared" si="18"/>
        <v>9269.999999999998</v>
      </c>
      <c r="AR89" s="13"/>
      <c r="AT89" s="13">
        <f t="shared" si="19"/>
        <v>9280</v>
      </c>
      <c r="AU89" s="13"/>
      <c r="AW89" s="13">
        <f t="shared" si="21"/>
        <v>9286.000000000002</v>
      </c>
      <c r="AX89" s="13"/>
      <c r="AY89" s="13"/>
    </row>
    <row r="90" spans="1:51" ht="12.75">
      <c r="A90">
        <f t="shared" si="20"/>
        <v>2700</v>
      </c>
      <c r="B90" s="13">
        <f t="shared" si="5"/>
        <v>9355.366666666665</v>
      </c>
      <c r="E90" s="13">
        <f t="shared" si="6"/>
        <v>9355.48333333333</v>
      </c>
      <c r="J90" s="13">
        <f t="shared" si="7"/>
        <v>9495.166666666664</v>
      </c>
      <c r="K90" s="13"/>
      <c r="M90" s="13">
        <f t="shared" si="8"/>
        <v>9501.166666666664</v>
      </c>
      <c r="N90" s="13"/>
      <c r="P90" s="13">
        <f t="shared" si="9"/>
        <v>9507.166666666664</v>
      </c>
      <c r="Q90" s="13"/>
      <c r="S90" s="13">
        <f t="shared" si="10"/>
        <v>9514.166666666664</v>
      </c>
      <c r="T90" s="13"/>
      <c r="V90" s="13">
        <f t="shared" si="11"/>
        <v>9523.666666666664</v>
      </c>
      <c r="W90" s="13"/>
      <c r="Y90" s="13">
        <f t="shared" si="12"/>
        <v>9534.166666666664</v>
      </c>
      <c r="Z90" s="13"/>
      <c r="AB90" s="13">
        <f t="shared" si="13"/>
        <v>7959</v>
      </c>
      <c r="AC90" s="13"/>
      <c r="AE90" s="13">
        <f t="shared" si="14"/>
        <v>9553.666666666664</v>
      </c>
      <c r="AF90" s="13"/>
      <c r="AH90" s="13">
        <f t="shared" si="15"/>
        <v>9562.666666666664</v>
      </c>
      <c r="AI90" s="13"/>
      <c r="AK90" s="13">
        <f t="shared" si="16"/>
        <v>9572.666666666664</v>
      </c>
      <c r="AL90" s="13"/>
      <c r="AN90" s="13">
        <f t="shared" si="17"/>
        <v>9581.5</v>
      </c>
      <c r="AO90" s="13"/>
      <c r="AQ90" s="13">
        <f t="shared" si="18"/>
        <v>9589.166666666664</v>
      </c>
      <c r="AR90" s="13"/>
      <c r="AT90" s="13">
        <f t="shared" si="19"/>
        <v>9600</v>
      </c>
      <c r="AU90" s="13"/>
      <c r="AW90" s="13">
        <f t="shared" si="21"/>
        <v>9606.333333333336</v>
      </c>
      <c r="AX90" s="13"/>
      <c r="AY90" s="13"/>
    </row>
    <row r="91" spans="1:51" ht="12.75">
      <c r="A91">
        <f t="shared" si="20"/>
        <v>2800</v>
      </c>
      <c r="B91" s="13">
        <f t="shared" si="5"/>
        <v>9638.033333333331</v>
      </c>
      <c r="E91" s="13">
        <f t="shared" si="6"/>
        <v>9638.166666666662</v>
      </c>
      <c r="J91" s="13">
        <f t="shared" si="7"/>
        <v>9802.33333333333</v>
      </c>
      <c r="K91" s="13"/>
      <c r="M91" s="13">
        <f t="shared" si="8"/>
        <v>9809.33333333333</v>
      </c>
      <c r="N91" s="13"/>
      <c r="P91" s="13">
        <f t="shared" si="9"/>
        <v>9816.33333333333</v>
      </c>
      <c r="Q91" s="13"/>
      <c r="S91" s="13">
        <f t="shared" si="10"/>
        <v>9824.33333333333</v>
      </c>
      <c r="T91" s="13"/>
      <c r="V91" s="13">
        <f t="shared" si="11"/>
        <v>9835.33333333333</v>
      </c>
      <c r="W91" s="13"/>
      <c r="Y91" s="13">
        <f t="shared" si="12"/>
        <v>9847.33333333333</v>
      </c>
      <c r="Z91" s="13"/>
      <c r="AB91" s="13">
        <f t="shared" si="13"/>
        <v>8219</v>
      </c>
      <c r="AC91" s="13"/>
      <c r="AE91" s="13">
        <f t="shared" si="14"/>
        <v>9869.33333333333</v>
      </c>
      <c r="AF91" s="13"/>
      <c r="AH91" s="13">
        <f t="shared" si="15"/>
        <v>9879.33333333333</v>
      </c>
      <c r="AI91" s="13"/>
      <c r="AK91" s="13">
        <f t="shared" si="16"/>
        <v>9890.33333333333</v>
      </c>
      <c r="AL91" s="13"/>
      <c r="AN91" s="13">
        <f t="shared" si="17"/>
        <v>9900</v>
      </c>
      <c r="AO91" s="13"/>
      <c r="AQ91" s="13">
        <f t="shared" si="18"/>
        <v>9908.33333333333</v>
      </c>
      <c r="AR91" s="13"/>
      <c r="AT91" s="13">
        <f t="shared" si="19"/>
        <v>9920</v>
      </c>
      <c r="AU91" s="13"/>
      <c r="AW91" s="13">
        <f t="shared" si="21"/>
        <v>9926.66666666667</v>
      </c>
      <c r="AX91" s="13"/>
      <c r="AY91" s="13"/>
    </row>
    <row r="92" spans="1:51" ht="12.75">
      <c r="A92">
        <f t="shared" si="20"/>
        <v>2900</v>
      </c>
      <c r="B92" s="13">
        <f t="shared" si="5"/>
        <v>9920.699999999997</v>
      </c>
      <c r="E92" s="13">
        <f t="shared" si="6"/>
        <v>9920.849999999995</v>
      </c>
      <c r="J92" s="13">
        <f t="shared" si="7"/>
        <v>10109.499999999996</v>
      </c>
      <c r="K92" s="13"/>
      <c r="M92" s="13">
        <f t="shared" si="8"/>
        <v>10117.499999999996</v>
      </c>
      <c r="N92" s="13"/>
      <c r="P92" s="13">
        <f t="shared" si="9"/>
        <v>10125.499999999996</v>
      </c>
      <c r="Q92" s="13"/>
      <c r="S92" s="13">
        <f t="shared" si="10"/>
        <v>10134.499999999996</v>
      </c>
      <c r="T92" s="13"/>
      <c r="V92" s="13">
        <f t="shared" si="11"/>
        <v>10146.999999999996</v>
      </c>
      <c r="W92" s="13"/>
      <c r="Y92" s="13">
        <f t="shared" si="12"/>
        <v>10160.499999999996</v>
      </c>
      <c r="Z92" s="13"/>
      <c r="AB92" s="13">
        <f t="shared" si="13"/>
        <v>8479</v>
      </c>
      <c r="AC92" s="13"/>
      <c r="AE92" s="13">
        <f t="shared" si="14"/>
        <v>10184.999999999996</v>
      </c>
      <c r="AF92" s="13"/>
      <c r="AH92" s="13">
        <f t="shared" si="15"/>
        <v>10195.999999999996</v>
      </c>
      <c r="AI92" s="13"/>
      <c r="AK92" s="13">
        <f t="shared" si="16"/>
        <v>10207.999999999996</v>
      </c>
      <c r="AL92" s="13"/>
      <c r="AN92" s="13">
        <f t="shared" si="17"/>
        <v>10218.5</v>
      </c>
      <c r="AO92" s="13"/>
      <c r="AQ92" s="13">
        <f t="shared" si="18"/>
        <v>10227.499999999996</v>
      </c>
      <c r="AR92" s="13"/>
      <c r="AT92" s="13">
        <f t="shared" si="19"/>
        <v>10240</v>
      </c>
      <c r="AU92" s="13"/>
      <c r="AW92" s="13">
        <f t="shared" si="21"/>
        <v>10247.000000000004</v>
      </c>
      <c r="AX92" s="13"/>
      <c r="AY92" s="13"/>
    </row>
    <row r="93" spans="1:51" ht="12.75">
      <c r="A93">
        <f t="shared" si="20"/>
        <v>3000</v>
      </c>
      <c r="B93" s="13">
        <f t="shared" si="5"/>
        <v>10203.366666666663</v>
      </c>
      <c r="E93" s="13">
        <f t="shared" si="6"/>
        <v>10203.533333333327</v>
      </c>
      <c r="J93" s="13">
        <f t="shared" si="7"/>
        <v>10416.666666666662</v>
      </c>
      <c r="K93" s="13"/>
      <c r="M93" s="13">
        <f t="shared" si="8"/>
        <v>10425.666666666662</v>
      </c>
      <c r="N93" s="13"/>
      <c r="P93" s="13">
        <f t="shared" si="9"/>
        <v>10434.666666666662</v>
      </c>
      <c r="Q93" s="13"/>
      <c r="S93" s="13">
        <f t="shared" si="10"/>
        <v>10444.666666666662</v>
      </c>
      <c r="T93" s="13"/>
      <c r="V93" s="13">
        <f t="shared" si="11"/>
        <v>10458.666666666662</v>
      </c>
      <c r="W93" s="13"/>
      <c r="Y93" s="13">
        <f t="shared" si="12"/>
        <v>10473.666666666662</v>
      </c>
      <c r="Z93" s="13"/>
      <c r="AB93" s="13">
        <f t="shared" si="13"/>
        <v>8739</v>
      </c>
      <c r="AC93" s="13"/>
      <c r="AE93" s="13">
        <f t="shared" si="14"/>
        <v>10500.666666666662</v>
      </c>
      <c r="AF93" s="13"/>
      <c r="AH93" s="13">
        <f t="shared" si="15"/>
        <v>10512.666666666662</v>
      </c>
      <c r="AI93" s="13"/>
      <c r="AK93" s="13">
        <f t="shared" si="16"/>
        <v>10525.666666666662</v>
      </c>
      <c r="AL93" s="13"/>
      <c r="AN93" s="13">
        <f t="shared" si="17"/>
        <v>10537</v>
      </c>
      <c r="AO93" s="13"/>
      <c r="AQ93" s="13">
        <f t="shared" si="18"/>
        <v>10546.666666666662</v>
      </c>
      <c r="AR93" s="13"/>
      <c r="AT93" s="13">
        <f t="shared" si="19"/>
        <v>10560</v>
      </c>
      <c r="AU93" s="13"/>
      <c r="AW93" s="13">
        <f t="shared" si="21"/>
        <v>10567.333333333338</v>
      </c>
      <c r="AX93" s="13"/>
      <c r="AY93" s="13"/>
    </row>
    <row r="94" spans="1:51" ht="12.75">
      <c r="A94">
        <f t="shared" si="20"/>
        <v>3100</v>
      </c>
      <c r="B94" s="13">
        <f t="shared" si="5"/>
        <v>10486.03333333333</v>
      </c>
      <c r="E94" s="13">
        <f t="shared" si="6"/>
        <v>10486.21666666666</v>
      </c>
      <c r="J94" s="13">
        <f t="shared" si="7"/>
        <v>10723.833333333328</v>
      </c>
      <c r="K94" s="13"/>
      <c r="M94" s="13">
        <f t="shared" si="8"/>
        <v>10733.833333333328</v>
      </c>
      <c r="N94" s="13"/>
      <c r="P94" s="13">
        <f t="shared" si="9"/>
        <v>10743.833333333328</v>
      </c>
      <c r="Q94" s="13"/>
      <c r="S94" s="13">
        <f t="shared" si="10"/>
        <v>10754.833333333328</v>
      </c>
      <c r="T94" s="13"/>
      <c r="V94" s="13">
        <f t="shared" si="11"/>
        <v>10770.333333333328</v>
      </c>
      <c r="W94" s="13"/>
      <c r="Y94" s="13">
        <f t="shared" si="12"/>
        <v>10786.833333333328</v>
      </c>
      <c r="Z94" s="13"/>
      <c r="AB94" s="13">
        <f t="shared" si="13"/>
        <v>8999</v>
      </c>
      <c r="AC94" s="13"/>
      <c r="AE94" s="13">
        <f t="shared" si="14"/>
        <v>10816.333333333328</v>
      </c>
      <c r="AF94" s="13"/>
      <c r="AH94" s="13">
        <f t="shared" si="15"/>
        <v>10829.333333333328</v>
      </c>
      <c r="AI94" s="13"/>
      <c r="AK94" s="13">
        <f t="shared" si="16"/>
        <v>10843.333333333328</v>
      </c>
      <c r="AL94" s="13"/>
      <c r="AN94" s="13">
        <f t="shared" si="17"/>
        <v>10855.5</v>
      </c>
      <c r="AO94" s="13"/>
      <c r="AQ94" s="13">
        <f t="shared" si="18"/>
        <v>10865.833333333328</v>
      </c>
      <c r="AR94" s="13"/>
      <c r="AT94" s="13">
        <f t="shared" si="19"/>
        <v>10880</v>
      </c>
      <c r="AU94" s="13"/>
      <c r="AW94" s="13">
        <f t="shared" si="21"/>
        <v>10887.666666666672</v>
      </c>
      <c r="AX94" s="13"/>
      <c r="AY94" s="13"/>
    </row>
    <row r="95" spans="1:51" ht="12.75">
      <c r="A95">
        <f t="shared" si="20"/>
        <v>3200</v>
      </c>
      <c r="B95" s="13">
        <f t="shared" si="5"/>
        <v>10768.699999999995</v>
      </c>
      <c r="E95" s="13">
        <f t="shared" si="6"/>
        <v>10768.899999999992</v>
      </c>
      <c r="J95" s="13">
        <f t="shared" si="7"/>
        <v>11030.999999999995</v>
      </c>
      <c r="K95" s="13"/>
      <c r="M95" s="13">
        <f t="shared" si="8"/>
        <v>11041.999999999995</v>
      </c>
      <c r="N95" s="13"/>
      <c r="P95" s="13">
        <f t="shared" si="9"/>
        <v>11052.999999999995</v>
      </c>
      <c r="Q95" s="13"/>
      <c r="S95" s="13">
        <f t="shared" si="10"/>
        <v>11064.999999999995</v>
      </c>
      <c r="T95" s="13"/>
      <c r="V95" s="13">
        <f t="shared" si="11"/>
        <v>11081.999999999995</v>
      </c>
      <c r="W95" s="13"/>
      <c r="Y95" s="13">
        <f t="shared" si="12"/>
        <v>11099.999999999995</v>
      </c>
      <c r="Z95" s="13"/>
      <c r="AB95" s="13">
        <f t="shared" si="13"/>
        <v>9259</v>
      </c>
      <c r="AC95" s="13"/>
      <c r="AE95" s="13">
        <f t="shared" si="14"/>
        <v>11131.999999999995</v>
      </c>
      <c r="AF95" s="13"/>
      <c r="AH95" s="13">
        <f t="shared" si="15"/>
        <v>11145.999999999995</v>
      </c>
      <c r="AI95" s="13"/>
      <c r="AK95" s="13">
        <f t="shared" si="16"/>
        <v>11160.999999999995</v>
      </c>
      <c r="AL95" s="13"/>
      <c r="AN95" s="13">
        <f t="shared" si="17"/>
        <v>11174</v>
      </c>
      <c r="AO95" s="13"/>
      <c r="AQ95" s="13">
        <f t="shared" si="18"/>
        <v>11184.999999999995</v>
      </c>
      <c r="AR95" s="13"/>
      <c r="AT95" s="13">
        <f t="shared" si="19"/>
        <v>11200</v>
      </c>
      <c r="AU95" s="13"/>
      <c r="AW95" s="13">
        <f t="shared" si="21"/>
        <v>11208.000000000005</v>
      </c>
      <c r="AX95" s="13"/>
      <c r="AY95" s="13"/>
    </row>
    <row r="96" spans="1:51" ht="12.75">
      <c r="A96">
        <f t="shared" si="20"/>
        <v>3300</v>
      </c>
      <c r="B96" s="13">
        <f t="shared" si="5"/>
        <v>11051.366666666661</v>
      </c>
      <c r="E96" s="13">
        <f t="shared" si="6"/>
        <v>11051.583333333325</v>
      </c>
      <c r="J96" s="13">
        <f t="shared" si="7"/>
        <v>11338.16666666666</v>
      </c>
      <c r="K96" s="13"/>
      <c r="M96" s="13">
        <f t="shared" si="8"/>
        <v>11350.16666666666</v>
      </c>
      <c r="N96" s="13"/>
      <c r="P96" s="13">
        <f t="shared" si="9"/>
        <v>11362.16666666666</v>
      </c>
      <c r="Q96" s="13"/>
      <c r="S96" s="13">
        <f t="shared" si="10"/>
        <v>11375.16666666666</v>
      </c>
      <c r="T96" s="13"/>
      <c r="V96" s="13">
        <f t="shared" si="11"/>
        <v>11393.66666666666</v>
      </c>
      <c r="W96" s="13"/>
      <c r="Y96" s="13">
        <f t="shared" si="12"/>
        <v>11413.16666666666</v>
      </c>
      <c r="Z96" s="13"/>
      <c r="AB96" s="13">
        <f t="shared" si="13"/>
        <v>9519</v>
      </c>
      <c r="AC96" s="13"/>
      <c r="AE96" s="13">
        <f t="shared" si="14"/>
        <v>11447.66666666666</v>
      </c>
      <c r="AF96" s="13"/>
      <c r="AH96" s="13">
        <f t="shared" si="15"/>
        <v>11462.66666666666</v>
      </c>
      <c r="AI96" s="13"/>
      <c r="AK96" s="13">
        <f t="shared" si="16"/>
        <v>11478.66666666666</v>
      </c>
      <c r="AL96" s="13"/>
      <c r="AN96" s="13">
        <f t="shared" si="17"/>
        <v>11492.5</v>
      </c>
      <c r="AO96" s="13"/>
      <c r="AQ96" s="13">
        <f t="shared" si="18"/>
        <v>11504.16666666666</v>
      </c>
      <c r="AR96" s="13"/>
      <c r="AT96" s="13">
        <f t="shared" si="19"/>
        <v>11520</v>
      </c>
      <c r="AU96" s="13"/>
      <c r="AW96" s="13">
        <f t="shared" si="21"/>
        <v>11528.33333333334</v>
      </c>
      <c r="AX96" s="13"/>
      <c r="AY96" s="13"/>
    </row>
    <row r="97" spans="1:51" ht="12.75">
      <c r="A97">
        <f t="shared" si="20"/>
        <v>3400</v>
      </c>
      <c r="B97" s="13">
        <f t="shared" si="5"/>
        <v>11334.033333333327</v>
      </c>
      <c r="E97" s="13">
        <f t="shared" si="6"/>
        <v>11334.266666666657</v>
      </c>
      <c r="J97" s="13">
        <f t="shared" si="7"/>
        <v>11645.333333333327</v>
      </c>
      <c r="K97" s="13"/>
      <c r="M97" s="13">
        <f t="shared" si="8"/>
        <v>11658.333333333327</v>
      </c>
      <c r="N97" s="13"/>
      <c r="P97" s="13">
        <f t="shared" si="9"/>
        <v>11671.333333333327</v>
      </c>
      <c r="Q97" s="13"/>
      <c r="S97" s="13">
        <f t="shared" si="10"/>
        <v>11685.333333333327</v>
      </c>
      <c r="T97" s="13"/>
      <c r="V97" s="13">
        <f t="shared" si="11"/>
        <v>11705.333333333327</v>
      </c>
      <c r="W97" s="13"/>
      <c r="Y97" s="13">
        <f t="shared" si="12"/>
        <v>11726.333333333327</v>
      </c>
      <c r="Z97" s="13"/>
      <c r="AB97" s="13">
        <f t="shared" si="13"/>
        <v>9779</v>
      </c>
      <c r="AC97" s="13"/>
      <c r="AE97" s="13">
        <f t="shared" si="14"/>
        <v>11763.333333333327</v>
      </c>
      <c r="AF97" s="13"/>
      <c r="AH97" s="13">
        <f t="shared" si="15"/>
        <v>11779.333333333327</v>
      </c>
      <c r="AI97" s="13"/>
      <c r="AK97" s="13">
        <f t="shared" si="16"/>
        <v>11796.333333333327</v>
      </c>
      <c r="AL97" s="13"/>
      <c r="AN97" s="13">
        <f t="shared" si="17"/>
        <v>11811</v>
      </c>
      <c r="AO97" s="13"/>
      <c r="AQ97" s="13">
        <f t="shared" si="18"/>
        <v>11823.333333333327</v>
      </c>
      <c r="AR97" s="13"/>
      <c r="AT97" s="13">
        <f t="shared" si="19"/>
        <v>11840</v>
      </c>
      <c r="AU97" s="13"/>
      <c r="AW97" s="13">
        <f t="shared" si="21"/>
        <v>11848.666666666673</v>
      </c>
      <c r="AX97" s="13"/>
      <c r="AY97" s="13"/>
    </row>
    <row r="98" spans="1:51" ht="12.75">
      <c r="A98">
        <f t="shared" si="20"/>
        <v>3500</v>
      </c>
      <c r="B98" s="13">
        <f t="shared" si="5"/>
        <v>11616.699999999993</v>
      </c>
      <c r="E98" s="13">
        <f t="shared" si="6"/>
        <v>11616.94999999999</v>
      </c>
      <c r="J98" s="13">
        <f t="shared" si="7"/>
        <v>11952.499999999993</v>
      </c>
      <c r="K98" s="13"/>
      <c r="M98" s="13">
        <f t="shared" si="8"/>
        <v>11966.499999999993</v>
      </c>
      <c r="N98" s="13"/>
      <c r="P98" s="13">
        <f t="shared" si="9"/>
        <v>11980.499999999993</v>
      </c>
      <c r="Q98" s="13"/>
      <c r="S98" s="13">
        <f t="shared" si="10"/>
        <v>11995.499999999993</v>
      </c>
      <c r="T98" s="13"/>
      <c r="V98" s="13">
        <f t="shared" si="11"/>
        <v>12016.999999999993</v>
      </c>
      <c r="W98" s="13"/>
      <c r="Y98" s="13">
        <f t="shared" si="12"/>
        <v>12039.499999999993</v>
      </c>
      <c r="Z98" s="13"/>
      <c r="AB98" s="13">
        <f t="shared" si="13"/>
        <v>10039</v>
      </c>
      <c r="AC98" s="13"/>
      <c r="AE98" s="13">
        <f t="shared" si="14"/>
        <v>12078.999999999993</v>
      </c>
      <c r="AF98" s="13"/>
      <c r="AH98" s="13">
        <f t="shared" si="15"/>
        <v>12095.999999999993</v>
      </c>
      <c r="AI98" s="13"/>
      <c r="AK98" s="13">
        <f t="shared" si="16"/>
        <v>12113.999999999993</v>
      </c>
      <c r="AL98" s="13"/>
      <c r="AN98" s="13">
        <f t="shared" si="17"/>
        <v>12129.5</v>
      </c>
      <c r="AO98" s="13"/>
      <c r="AQ98" s="13">
        <f t="shared" si="18"/>
        <v>12142.499999999993</v>
      </c>
      <c r="AR98" s="13"/>
      <c r="AT98" s="13">
        <f t="shared" si="19"/>
        <v>12160</v>
      </c>
      <c r="AU98" s="13"/>
      <c r="AW98" s="13">
        <f t="shared" si="21"/>
        <v>12169.000000000007</v>
      </c>
      <c r="AX98" s="13"/>
      <c r="AY98" s="13"/>
    </row>
    <row r="99" spans="1:51" ht="12.75">
      <c r="A99">
        <f t="shared" si="20"/>
        <v>3600</v>
      </c>
      <c r="B99" s="13">
        <f t="shared" si="5"/>
        <v>11899.36666666666</v>
      </c>
      <c r="E99" s="13">
        <f t="shared" si="6"/>
        <v>11899.633333333322</v>
      </c>
      <c r="J99" s="13">
        <f t="shared" si="7"/>
        <v>12259.666666666659</v>
      </c>
      <c r="K99" s="13"/>
      <c r="M99" s="13">
        <f t="shared" si="8"/>
        <v>12274.666666666659</v>
      </c>
      <c r="N99" s="13"/>
      <c r="P99" s="13">
        <f t="shared" si="9"/>
        <v>12289.666666666659</v>
      </c>
      <c r="Q99" s="13"/>
      <c r="S99" s="13">
        <f t="shared" si="10"/>
        <v>12305.666666666659</v>
      </c>
      <c r="T99" s="13"/>
      <c r="V99" s="13">
        <f t="shared" si="11"/>
        <v>12328.666666666659</v>
      </c>
      <c r="W99" s="13"/>
      <c r="Y99" s="13">
        <f t="shared" si="12"/>
        <v>12352.666666666659</v>
      </c>
      <c r="Z99" s="13"/>
      <c r="AB99" s="13">
        <f t="shared" si="13"/>
        <v>10299</v>
      </c>
      <c r="AC99" s="13"/>
      <c r="AE99" s="13">
        <f t="shared" si="14"/>
        <v>12394.666666666659</v>
      </c>
      <c r="AF99" s="13"/>
      <c r="AH99" s="13">
        <f t="shared" si="15"/>
        <v>12412.666666666659</v>
      </c>
      <c r="AI99" s="13"/>
      <c r="AK99" s="13">
        <f t="shared" si="16"/>
        <v>12431.666666666659</v>
      </c>
      <c r="AL99" s="13"/>
      <c r="AN99" s="13">
        <f t="shared" si="17"/>
        <v>12448</v>
      </c>
      <c r="AO99" s="13"/>
      <c r="AQ99" s="13">
        <f t="shared" si="18"/>
        <v>12461.666666666659</v>
      </c>
      <c r="AR99" s="13"/>
      <c r="AT99" s="13">
        <f t="shared" si="19"/>
        <v>12480</v>
      </c>
      <c r="AU99" s="13"/>
      <c r="AW99" s="13">
        <f t="shared" si="21"/>
        <v>12489.333333333341</v>
      </c>
      <c r="AX99" s="13"/>
      <c r="AY99" s="13"/>
    </row>
    <row r="100" spans="1:51" ht="12.75">
      <c r="A100">
        <f t="shared" si="20"/>
        <v>3700</v>
      </c>
      <c r="B100" s="13">
        <f t="shared" si="5"/>
        <v>12182.033333333326</v>
      </c>
      <c r="E100" s="13">
        <f t="shared" si="6"/>
        <v>12182.316666666655</v>
      </c>
      <c r="J100" s="13">
        <f t="shared" si="7"/>
        <v>12566.833333333325</v>
      </c>
      <c r="K100" s="13"/>
      <c r="M100" s="13">
        <f t="shared" si="8"/>
        <v>12582.833333333325</v>
      </c>
      <c r="N100" s="13"/>
      <c r="P100" s="13">
        <f t="shared" si="9"/>
        <v>12598.833333333325</v>
      </c>
      <c r="Q100" s="13"/>
      <c r="S100" s="13">
        <f t="shared" si="10"/>
        <v>12615.833333333325</v>
      </c>
      <c r="T100" s="13"/>
      <c r="V100" s="13">
        <f t="shared" si="11"/>
        <v>12640.333333333325</v>
      </c>
      <c r="W100" s="13"/>
      <c r="Y100" s="13">
        <f t="shared" si="12"/>
        <v>12665.833333333325</v>
      </c>
      <c r="Z100" s="13"/>
      <c r="AB100" s="13">
        <f t="shared" si="13"/>
        <v>10559</v>
      </c>
      <c r="AC100" s="13"/>
      <c r="AE100" s="13">
        <f t="shared" si="14"/>
        <v>12710.333333333325</v>
      </c>
      <c r="AF100" s="13"/>
      <c r="AH100" s="13">
        <f t="shared" si="15"/>
        <v>12729.333333333325</v>
      </c>
      <c r="AI100" s="13"/>
      <c r="AK100" s="13">
        <f t="shared" si="16"/>
        <v>12749.333333333325</v>
      </c>
      <c r="AL100" s="13"/>
      <c r="AN100" s="13">
        <f t="shared" si="17"/>
        <v>12766.5</v>
      </c>
      <c r="AO100" s="13"/>
      <c r="AQ100" s="13">
        <f t="shared" si="18"/>
        <v>12780.833333333325</v>
      </c>
      <c r="AR100" s="13"/>
      <c r="AT100" s="13">
        <f t="shared" si="19"/>
        <v>12800</v>
      </c>
      <c r="AU100" s="13"/>
      <c r="AW100" s="13">
        <f t="shared" si="21"/>
        <v>12809.666666666675</v>
      </c>
      <c r="AX100" s="13"/>
      <c r="AY100" s="13"/>
    </row>
    <row r="101" spans="1:51" ht="12.75">
      <c r="A101">
        <f t="shared" si="20"/>
        <v>3800</v>
      </c>
      <c r="B101" s="13">
        <f t="shared" si="5"/>
        <v>12464.699999999992</v>
      </c>
      <c r="E101" s="13">
        <f t="shared" si="6"/>
        <v>12464.999999999987</v>
      </c>
      <c r="J101" s="13">
        <f t="shared" si="7"/>
        <v>12873.99999999999</v>
      </c>
      <c r="K101" s="13"/>
      <c r="M101" s="13">
        <f t="shared" si="8"/>
        <v>12890.99999999999</v>
      </c>
      <c r="N101" s="13"/>
      <c r="P101" s="13">
        <f t="shared" si="9"/>
        <v>12907.99999999999</v>
      </c>
      <c r="Q101" s="13"/>
      <c r="S101" s="13">
        <f t="shared" si="10"/>
        <v>12925.99999999999</v>
      </c>
      <c r="T101" s="13"/>
      <c r="V101" s="13">
        <f t="shared" si="11"/>
        <v>12951.99999999999</v>
      </c>
      <c r="W101" s="13"/>
      <c r="Y101" s="13">
        <f t="shared" si="12"/>
        <v>12978.99999999999</v>
      </c>
      <c r="Z101" s="13"/>
      <c r="AB101" s="13">
        <f t="shared" si="13"/>
        <v>10819</v>
      </c>
      <c r="AC101" s="13"/>
      <c r="AE101" s="13">
        <f t="shared" si="14"/>
        <v>13025.99999999999</v>
      </c>
      <c r="AF101" s="13"/>
      <c r="AH101" s="13">
        <f t="shared" si="15"/>
        <v>13045.99999999999</v>
      </c>
      <c r="AI101" s="13"/>
      <c r="AK101" s="13">
        <f t="shared" si="16"/>
        <v>13066.99999999999</v>
      </c>
      <c r="AL101" s="13"/>
      <c r="AN101" s="13">
        <f t="shared" si="17"/>
        <v>13085</v>
      </c>
      <c r="AO101" s="13"/>
      <c r="AQ101" s="13">
        <f t="shared" si="18"/>
        <v>13099.99999999999</v>
      </c>
      <c r="AR101" s="13"/>
      <c r="AT101" s="13">
        <f t="shared" si="19"/>
        <v>13120</v>
      </c>
      <c r="AU101" s="13"/>
      <c r="AW101" s="13">
        <f t="shared" si="21"/>
        <v>13130.00000000001</v>
      </c>
      <c r="AX101" s="13"/>
      <c r="AY101" s="13"/>
    </row>
    <row r="102" spans="1:51" ht="12.75">
      <c r="A102">
        <f t="shared" si="20"/>
        <v>3900</v>
      </c>
      <c r="B102" s="13">
        <f t="shared" si="5"/>
        <v>12747.366666666658</v>
      </c>
      <c r="E102" s="13">
        <f t="shared" si="6"/>
        <v>12747.68333333332</v>
      </c>
      <c r="J102" s="13">
        <f t="shared" si="7"/>
        <v>13181.166666666657</v>
      </c>
      <c r="K102" s="13"/>
      <c r="M102" s="13">
        <f t="shared" si="8"/>
        <v>13199.166666666657</v>
      </c>
      <c r="N102" s="13"/>
      <c r="P102" s="13">
        <f t="shared" si="9"/>
        <v>13217.166666666657</v>
      </c>
      <c r="Q102" s="13"/>
      <c r="S102" s="13">
        <f t="shared" si="10"/>
        <v>13236.166666666657</v>
      </c>
      <c r="T102" s="13"/>
      <c r="V102" s="13">
        <f t="shared" si="11"/>
        <v>13263.666666666657</v>
      </c>
      <c r="W102" s="13"/>
      <c r="Y102" s="13">
        <f t="shared" si="12"/>
        <v>13292.166666666657</v>
      </c>
      <c r="Z102" s="13"/>
      <c r="AB102" s="13">
        <f t="shared" si="13"/>
        <v>11079</v>
      </c>
      <c r="AC102" s="13"/>
      <c r="AE102" s="13">
        <f t="shared" si="14"/>
        <v>13341.666666666657</v>
      </c>
      <c r="AF102" s="13"/>
      <c r="AH102" s="13">
        <f t="shared" si="15"/>
        <v>13362.666666666657</v>
      </c>
      <c r="AI102" s="13"/>
      <c r="AK102" s="13">
        <f t="shared" si="16"/>
        <v>13384.666666666657</v>
      </c>
      <c r="AL102" s="13"/>
      <c r="AN102" s="13">
        <f t="shared" si="17"/>
        <v>13403.5</v>
      </c>
      <c r="AO102" s="13"/>
      <c r="AQ102" s="13">
        <f t="shared" si="18"/>
        <v>13419.166666666657</v>
      </c>
      <c r="AR102" s="13"/>
      <c r="AT102" s="13">
        <f t="shared" si="19"/>
        <v>13440</v>
      </c>
      <c r="AU102" s="13"/>
      <c r="AW102" s="13">
        <f t="shared" si="21"/>
        <v>13450.333333333343</v>
      </c>
      <c r="AX102" s="13"/>
      <c r="AY102" s="13"/>
    </row>
    <row r="103" spans="1:53" ht="13.5" thickBot="1">
      <c r="A103" s="16">
        <f t="shared" si="20"/>
        <v>4000</v>
      </c>
      <c r="B103" s="17">
        <f t="shared" si="5"/>
        <v>13030.033333333324</v>
      </c>
      <c r="C103" s="16"/>
      <c r="D103" s="16"/>
      <c r="E103" s="17">
        <f t="shared" si="6"/>
        <v>13030.366666666652</v>
      </c>
      <c r="F103" s="16"/>
      <c r="G103" s="16"/>
      <c r="H103" s="16"/>
      <c r="I103" s="16"/>
      <c r="J103" s="17">
        <f t="shared" si="7"/>
        <v>13488.333333333323</v>
      </c>
      <c r="K103" s="17"/>
      <c r="L103" s="16"/>
      <c r="M103" s="17">
        <f t="shared" si="8"/>
        <v>13507.333333333323</v>
      </c>
      <c r="N103" s="17"/>
      <c r="O103" s="16"/>
      <c r="P103" s="17">
        <f t="shared" si="9"/>
        <v>13526.333333333323</v>
      </c>
      <c r="Q103" s="17"/>
      <c r="R103" s="16"/>
      <c r="S103" s="17">
        <f t="shared" si="10"/>
        <v>13546.333333333323</v>
      </c>
      <c r="T103" s="17"/>
      <c r="U103" s="16"/>
      <c r="V103" s="17">
        <f t="shared" si="11"/>
        <v>13575.333333333323</v>
      </c>
      <c r="W103" s="17"/>
      <c r="X103" s="16"/>
      <c r="Y103" s="17">
        <f t="shared" si="12"/>
        <v>13605.333333333323</v>
      </c>
      <c r="Z103" s="17"/>
      <c r="AA103" s="16"/>
      <c r="AB103" s="17">
        <f t="shared" si="13"/>
        <v>11339</v>
      </c>
      <c r="AC103" s="17"/>
      <c r="AD103" s="16"/>
      <c r="AE103" s="17">
        <f t="shared" si="14"/>
        <v>13657.333333333323</v>
      </c>
      <c r="AF103" s="17"/>
      <c r="AG103" s="16"/>
      <c r="AH103" s="17">
        <f t="shared" si="15"/>
        <v>13679.333333333323</v>
      </c>
      <c r="AI103" s="17"/>
      <c r="AJ103" s="16"/>
      <c r="AK103" s="17">
        <f t="shared" si="16"/>
        <v>13702.333333333323</v>
      </c>
      <c r="AL103" s="17"/>
      <c r="AM103" s="16"/>
      <c r="AN103" s="17">
        <f t="shared" si="17"/>
        <v>13722</v>
      </c>
      <c r="AO103" s="17"/>
      <c r="AP103" s="16"/>
      <c r="AQ103" s="17">
        <f t="shared" si="18"/>
        <v>13738.333333333323</v>
      </c>
      <c r="AR103" s="17"/>
      <c r="AS103" s="16"/>
      <c r="AT103" s="17">
        <f t="shared" si="19"/>
        <v>13760</v>
      </c>
      <c r="AU103" s="17"/>
      <c r="AV103" s="16"/>
      <c r="AW103" s="17">
        <f t="shared" si="21"/>
        <v>13770.666666666677</v>
      </c>
      <c r="AX103" s="17"/>
      <c r="AY103" s="17"/>
      <c r="AZ103" s="16"/>
      <c r="BA103" s="16"/>
    </row>
    <row r="104" spans="10:11" ht="12.75">
      <c r="J104" s="13"/>
      <c r="K104" s="13"/>
    </row>
    <row r="105" spans="1:49" ht="12.75">
      <c r="A105" t="s">
        <v>81</v>
      </c>
      <c r="B105">
        <v>0.8</v>
      </c>
      <c r="E105">
        <v>0.9</v>
      </c>
      <c r="H105">
        <v>1</v>
      </c>
      <c r="I105">
        <v>1.1</v>
      </c>
      <c r="J105">
        <v>1700</v>
      </c>
      <c r="M105">
        <v>1800</v>
      </c>
      <c r="P105">
        <v>1900</v>
      </c>
      <c r="S105">
        <v>2000</v>
      </c>
      <c r="V105">
        <v>2200</v>
      </c>
      <c r="Y105">
        <v>2400</v>
      </c>
      <c r="AB105">
        <v>2600</v>
      </c>
      <c r="AE105">
        <v>2800</v>
      </c>
      <c r="AH105">
        <v>3000</v>
      </c>
      <c r="AK105">
        <v>3200</v>
      </c>
      <c r="AN105">
        <v>3400</v>
      </c>
      <c r="AQ105">
        <v>3600</v>
      </c>
      <c r="AT105">
        <v>3800</v>
      </c>
      <c r="AW105">
        <v>4000</v>
      </c>
    </row>
    <row r="106" spans="1:11" ht="12.75">
      <c r="A106" t="s">
        <v>82</v>
      </c>
      <c r="B106" t="s">
        <v>11</v>
      </c>
      <c r="C106" t="s">
        <v>84</v>
      </c>
      <c r="J106" s="13"/>
      <c r="K106" s="13"/>
    </row>
    <row r="107" spans="1:51" ht="12.75">
      <c r="A107">
        <v>800</v>
      </c>
      <c r="B107">
        <v>0.16155</v>
      </c>
      <c r="C107" s="3">
        <f>1/B107</f>
        <v>6.190034045187248</v>
      </c>
      <c r="D107" s="3">
        <f>+(C107*B$105)/(A107+273)*1000</f>
        <v>4.615123239654985</v>
      </c>
      <c r="E107">
        <v>0.18174</v>
      </c>
      <c r="F107" s="3">
        <f>1/E107</f>
        <v>5.502366017387477</v>
      </c>
      <c r="G107" s="3">
        <f>+(F107*E$105)/(A107+273)*1000</f>
        <v>4.615218467519785</v>
      </c>
      <c r="J107" s="2">
        <v>378.6</v>
      </c>
      <c r="K107" s="18">
        <f>1/J107</f>
        <v>0.0026413100898045427</v>
      </c>
      <c r="L107" s="3">
        <f>+(K107*J$105)/($A107+273)*1000</f>
        <v>4.184741055608316</v>
      </c>
      <c r="M107" s="2">
        <v>396.1</v>
      </c>
      <c r="N107" s="18">
        <f>1/M107</f>
        <v>0.0025246149962130774</v>
      </c>
      <c r="O107" s="3">
        <f>+(N107*M$105)/($A107+273)*1000</f>
        <v>4.235141652547567</v>
      </c>
      <c r="P107" s="2">
        <v>412.8</v>
      </c>
      <c r="Q107" s="18">
        <f>1/P107</f>
        <v>0.0024224806201550387</v>
      </c>
      <c r="R107" s="3">
        <f>+(Q107*P$105)/($A107+273)*1000</f>
        <v>4.289574257497272</v>
      </c>
      <c r="S107">
        <v>428.7</v>
      </c>
      <c r="T107" s="18">
        <f>1/S107</f>
        <v>0.0023326335432703525</v>
      </c>
      <c r="U107" s="3">
        <f>+(T107*S$105)/($A107+273)*1000</f>
        <v>4.347872401249492</v>
      </c>
      <c r="V107" s="2">
        <v>458.2</v>
      </c>
      <c r="W107" s="18">
        <f>1/V107</f>
        <v>0.002182453077258839</v>
      </c>
      <c r="X107" s="3">
        <f>+(W107*V$105)/($A107+273)*1000</f>
        <v>4.474740698946361</v>
      </c>
      <c r="Y107" s="2">
        <v>485</v>
      </c>
      <c r="Z107" s="18">
        <f>1/Y107</f>
        <v>0.002061855670103093</v>
      </c>
      <c r="AA107" s="3">
        <f>+(Z107*Y$105)/($A107+273)*1000</f>
        <v>4.611792738348017</v>
      </c>
      <c r="AB107" s="2">
        <v>509.4</v>
      </c>
      <c r="AC107" s="18">
        <f>1/AB107</f>
        <v>0.0019630938358853552</v>
      </c>
      <c r="AD107" s="3">
        <f>+(AC107*AB$105)/($A107+273)*1000</f>
        <v>4.75679773839881</v>
      </c>
      <c r="AE107" s="2">
        <v>531.9</v>
      </c>
      <c r="AF107" s="18">
        <f>1/AE107</f>
        <v>0.0018800526414739613</v>
      </c>
      <c r="AG107" s="3">
        <f>+(AF107*AE$105)/($A107+273)*1000</f>
        <v>4.906008756875202</v>
      </c>
      <c r="AH107" s="2">
        <v>552.6</v>
      </c>
      <c r="AI107" s="18">
        <f>1/AH107</f>
        <v>0.0018096272167933405</v>
      </c>
      <c r="AJ107" s="3">
        <f>+(AI107*AH$105)/($A107+273)*1000</f>
        <v>5.059535554874205</v>
      </c>
      <c r="AK107">
        <v>571.8</v>
      </c>
      <c r="AL107" s="18">
        <f>1/AK107</f>
        <v>0.0017488632388947185</v>
      </c>
      <c r="AM107" s="3">
        <f>+(AL107*AK$105)/($A107+273)*1000</f>
        <v>5.215621961289002</v>
      </c>
      <c r="AN107">
        <v>589.7</v>
      </c>
      <c r="AO107" s="18">
        <f>1/AN107</f>
        <v>0.0016957775139901643</v>
      </c>
      <c r="AP107" s="3">
        <f>+(AO107*AN$105)/($A107+273)*1000</f>
        <v>5.373386344423634</v>
      </c>
      <c r="AQ107">
        <v>606.5</v>
      </c>
      <c r="AR107" s="18">
        <f>1/AQ107</f>
        <v>0.0016488046166529267</v>
      </c>
      <c r="AS107" s="3">
        <f>+(AR107*AQ$105)/($A107+273)*1000</f>
        <v>5.531870102470211</v>
      </c>
      <c r="AT107" s="2">
        <v>622.3</v>
      </c>
      <c r="AU107" s="18">
        <f>1/AT107</f>
        <v>0.001606941989394183</v>
      </c>
      <c r="AV107" s="3">
        <f>+(AU107*AT$105)/($A107+273)*1000</f>
        <v>5.690940875766912</v>
      </c>
      <c r="AW107">
        <v>637.3</v>
      </c>
      <c r="AX107" s="18">
        <f>1/AW107</f>
        <v>0.0015691197238349287</v>
      </c>
      <c r="AY107" s="3">
        <f>+(AX107*AW$105)/($A107+273)*1000</f>
        <v>5.849467749617628</v>
      </c>
    </row>
    <row r="108" spans="3:52" ht="12.75">
      <c r="C108" s="3"/>
      <c r="D108" s="3">
        <f>+(D107-D109)*1000</f>
        <v>-0.21566612316092915</v>
      </c>
      <c r="F108" s="3"/>
      <c r="G108" s="3">
        <f>+(G107-G109)*1000</f>
        <v>0.0456767324905627</v>
      </c>
      <c r="J108" s="2"/>
      <c r="K108" s="3"/>
      <c r="L108" s="3">
        <f>+(L109-L107)/($A109-$A107)*1000</f>
        <v>2.5617210660143286</v>
      </c>
      <c r="M108" s="2"/>
      <c r="O108" s="3">
        <f>+(O109-O107)/($A109-$A107)*1000</f>
        <v>2.432231381798182</v>
      </c>
      <c r="P108" s="2"/>
      <c r="R108" s="3">
        <f>+(R109-R107)/($A109-$A107)*1000</f>
        <v>2.305193072068832</v>
      </c>
      <c r="U108" s="3">
        <f>+(U109-U107)/($A109-$A107)*1000</f>
        <v>2.156582511269445</v>
      </c>
      <c r="V108" s="2"/>
      <c r="X108" s="3">
        <f>+(X109-X107)/($A109-$A107)*1000</f>
        <v>1.8995545908817846</v>
      </c>
      <c r="Y108" s="2"/>
      <c r="AA108" s="3">
        <f>+(AA109-AA107)/($A109-$A107)*1000</f>
        <v>1.6215312813738691</v>
      </c>
      <c r="AB108" s="2"/>
      <c r="AD108" s="3">
        <f>+(AD109-AD107)/($A109-$A107)*1000</f>
        <v>1.331839829827306</v>
      </c>
      <c r="AE108" s="2"/>
      <c r="AG108" s="3">
        <f>+(AG109-AG107)/($A109-$A107)*1000</f>
        <v>1.0770184321795817</v>
      </c>
      <c r="AH108" s="2"/>
      <c r="AJ108" s="3">
        <f>+(AJ109-AJ107)/($A109-$A107)*1000</f>
        <v>0.830134821962627</v>
      </c>
      <c r="AM108" s="3">
        <f>+(AM109-AM107)/($A109-$A107)*1000</f>
        <v>0.5839436355277705</v>
      </c>
      <c r="AP108" s="3">
        <f>+(AP109-AP107)/($A109-$A107)*1000</f>
        <v>0.3529508342531251</v>
      </c>
      <c r="AS108" s="3">
        <f>+(AS109-AS107)/($A109-$A107)*1000</f>
        <v>0.13312388289900667</v>
      </c>
      <c r="AT108" s="2"/>
      <c r="AV108" s="3">
        <f>+(AV109-AV107)/($A109-$A107)*1000</f>
        <v>-0.07786254029388928</v>
      </c>
      <c r="AY108" s="3">
        <f>+(AY109-AY107)/($A109-$A107)*1000</f>
        <v>-0.26355454882370566</v>
      </c>
      <c r="AZ108" s="3"/>
    </row>
    <row r="109" spans="1:52" ht="12.75">
      <c r="A109">
        <v>850</v>
      </c>
      <c r="B109">
        <v>0.15435</v>
      </c>
      <c r="C109" s="3">
        <f>1/B109</f>
        <v>6.478781988986071</v>
      </c>
      <c r="D109" s="3">
        <f>+(C109*B$105)/(A109+273)*1000</f>
        <v>4.615338905778146</v>
      </c>
      <c r="E109">
        <v>0.17365</v>
      </c>
      <c r="F109" s="3">
        <f>1/E109</f>
        <v>5.758710048949036</v>
      </c>
      <c r="G109" s="3">
        <f>+(F109*E$105)/(A109+273)*1000</f>
        <v>4.615172790787295</v>
      </c>
      <c r="J109" s="2">
        <v>351</v>
      </c>
      <c r="K109" s="18">
        <f>1/J109</f>
        <v>0.002849002849002849</v>
      </c>
      <c r="L109" s="3">
        <f>+(K109*J$105)/(A109+273)*1000</f>
        <v>4.312827108909032</v>
      </c>
      <c r="M109" s="2">
        <v>367.9</v>
      </c>
      <c r="N109" s="18">
        <f>1/M109</f>
        <v>0.002718129926610492</v>
      </c>
      <c r="O109" s="3">
        <f>+(N109*M$105)/($A109+273)*1000</f>
        <v>4.356753221637476</v>
      </c>
      <c r="P109" s="2">
        <v>384.1</v>
      </c>
      <c r="Q109" s="18">
        <f>1/P109</f>
        <v>0.0026034886748242643</v>
      </c>
      <c r="R109" s="3">
        <f>+(Q109*P$105)/($A109+273)*1000</f>
        <v>4.404833911100714</v>
      </c>
      <c r="S109">
        <v>399.7</v>
      </c>
      <c r="T109" s="18">
        <f>1/S109</f>
        <v>0.0025018764073054794</v>
      </c>
      <c r="U109" s="3">
        <f>+(T109*S$105)/($A109+273)*1000</f>
        <v>4.455701526812964</v>
      </c>
      <c r="V109" s="2">
        <v>428.7</v>
      </c>
      <c r="W109" s="18">
        <f>1/V109</f>
        <v>0.0023326335432703525</v>
      </c>
      <c r="X109" s="3">
        <f>+(W109*V$105)/($A109+273)*1000</f>
        <v>4.56971842849045</v>
      </c>
      <c r="Y109" s="2">
        <v>455.4</v>
      </c>
      <c r="Z109" s="18">
        <f>1/Y109</f>
        <v>0.0021958717610891525</v>
      </c>
      <c r="AA109" s="3">
        <f>+(Z109*Y$105)/($A109+273)*1000</f>
        <v>4.69286930241671</v>
      </c>
      <c r="AB109" s="2">
        <v>480</v>
      </c>
      <c r="AC109" s="18">
        <f>1/AB109</f>
        <v>0.0020833333333333333</v>
      </c>
      <c r="AD109" s="3">
        <f>+(AC109*AB$105)/($A109+273)*1000</f>
        <v>4.823389729890176</v>
      </c>
      <c r="AE109" s="2">
        <v>502.7</v>
      </c>
      <c r="AF109" s="18">
        <f>1/AE109</f>
        <v>0.001989258006763477</v>
      </c>
      <c r="AG109" s="3">
        <f>+(AF109*AE$105)/($A109+273)*1000</f>
        <v>4.9598596784841815</v>
      </c>
      <c r="AH109" s="2">
        <v>523.7</v>
      </c>
      <c r="AI109" s="18">
        <f>1/AH109</f>
        <v>0.0019094901661256443</v>
      </c>
      <c r="AJ109" s="3">
        <f>+(AI109*AH$105)/($A109+273)*1000</f>
        <v>5.101042295972336</v>
      </c>
      <c r="AK109">
        <v>543.3</v>
      </c>
      <c r="AL109" s="18">
        <f>1/AK109</f>
        <v>0.0018406037180195105</v>
      </c>
      <c r="AM109" s="3">
        <f>+(AL109*AK$105)/($A109+273)*1000</f>
        <v>5.24481914306539</v>
      </c>
      <c r="AN109">
        <v>561.6</v>
      </c>
      <c r="AO109" s="18">
        <f>1/AN109</f>
        <v>0.0017806267806267807</v>
      </c>
      <c r="AP109" s="3">
        <f>+(AO109*AN$105)/($A109+273)*1000</f>
        <v>5.39103388613629</v>
      </c>
      <c r="AQ109">
        <v>578.8</v>
      </c>
      <c r="AR109" s="18">
        <f>1/AQ109</f>
        <v>0.0017277125086385626</v>
      </c>
      <c r="AS109" s="3">
        <f>+(AR109*AQ$105)/($A109+273)*1000</f>
        <v>5.538526296615161</v>
      </c>
      <c r="AT109" s="2">
        <v>595</v>
      </c>
      <c r="AU109" s="18">
        <f>1/AT109</f>
        <v>0.0016806722689075631</v>
      </c>
      <c r="AV109" s="3">
        <f>+(AU109*AT$105)/($A109+273)*1000</f>
        <v>5.687047748752217</v>
      </c>
      <c r="AW109">
        <v>610.3</v>
      </c>
      <c r="AX109" s="18">
        <f>1/AW109</f>
        <v>0.0016385384237260364</v>
      </c>
      <c r="AY109" s="3">
        <f>+(AX109*AW$105)/($A109+273)*1000</f>
        <v>5.836290022176443</v>
      </c>
      <c r="AZ109" s="3"/>
    </row>
    <row r="110" spans="3:52" ht="12.75">
      <c r="C110" s="3"/>
      <c r="D110" s="3">
        <f>+(D109-D111)*1000</f>
        <v>-0.02236652926601579</v>
      </c>
      <c r="F110" s="3"/>
      <c r="G110" s="3">
        <f>+(G109-G111)*1000</f>
        <v>-0.22318557203249156</v>
      </c>
      <c r="J110" s="2"/>
      <c r="K110" s="3"/>
      <c r="L110" s="3">
        <f>+(L111-L109)/($A111-$A109)*1000</f>
        <v>2.221807169733925</v>
      </c>
      <c r="M110" s="2"/>
      <c r="O110" s="3">
        <f>+(O111-O109)/($A111-$A109)*1000</f>
        <v>2.1335134741701367</v>
      </c>
      <c r="P110" s="2"/>
      <c r="R110" s="3">
        <f>+(R111-R109)/($A111-$A109)*1000</f>
        <v>2.041237533192035</v>
      </c>
      <c r="U110" s="3">
        <f>+(U111-U109)/($A111-$A109)*1000</f>
        <v>1.9666232042410137</v>
      </c>
      <c r="V110" s="2"/>
      <c r="X110" s="3">
        <f>+(X111-X109)/($A111-$A109)*1000</f>
        <v>1.7072855291923261</v>
      </c>
      <c r="Y110" s="2"/>
      <c r="AA110" s="3">
        <f>+(AA111-AA109)/($A111-$A109)*1000</f>
        <v>1.4844501877607996</v>
      </c>
      <c r="AB110" s="2"/>
      <c r="AD110" s="3">
        <f>+(AD111-AD109)/($A111-$A109)*1000</f>
        <v>1.2631925904158336</v>
      </c>
      <c r="AE110" s="2"/>
      <c r="AG110" s="3">
        <f>+(AG111-AG109)/($A111-$A109)*1000</f>
        <v>1.0565558310316803</v>
      </c>
      <c r="AH110" s="2"/>
      <c r="AJ110" s="3">
        <f>+(AJ111-AJ109)/($A111-$A109)*1000</f>
        <v>0.8156943713955833</v>
      </c>
      <c r="AM110" s="3">
        <f>+(AM111-AM109)/($A111-$A109)*1000</f>
        <v>0.6169701008064621</v>
      </c>
      <c r="AP110" s="3">
        <f>+(AP111-AP109)/($A111-$A109)*1000</f>
        <v>0.4149729358881338</v>
      </c>
      <c r="AS110" s="3">
        <f>+(AS111-AS109)/($A111-$A109)*1000</f>
        <v>0.20592347792632637</v>
      </c>
      <c r="AT110" s="2"/>
      <c r="AV110" s="3">
        <f>+(AV111-AV109)/($A111-$A109)*1000</f>
        <v>0.027497781482939132</v>
      </c>
      <c r="AY110" s="3">
        <f>+(AY111-AY109)/($A111-$A109)*1000</f>
        <v>-0.16248900807061872</v>
      </c>
      <c r="AZ110" s="3">
        <f>AVERAGE(I110:AY110)</f>
        <v>1.1280882270833268</v>
      </c>
    </row>
    <row r="111" spans="1:52" ht="12.75">
      <c r="A111">
        <v>900</v>
      </c>
      <c r="B111">
        <v>0.14777</v>
      </c>
      <c r="C111" s="3">
        <f>1/B111</f>
        <v>6.767273465520741</v>
      </c>
      <c r="D111" s="3">
        <f>+(C111*B$105)/(A111+273)*1000</f>
        <v>4.615361272307412</v>
      </c>
      <c r="E111">
        <v>0.16624</v>
      </c>
      <c r="F111" s="3">
        <f>1/E111</f>
        <v>6.015399422521655</v>
      </c>
      <c r="G111" s="3">
        <f>+(F111*E$105)/(A111+273)*1000</f>
        <v>4.615395976359327</v>
      </c>
      <c r="J111" s="2">
        <v>327.6</v>
      </c>
      <c r="K111" s="18">
        <f>1/J111</f>
        <v>0.0030525030525030525</v>
      </c>
      <c r="L111" s="3">
        <f>+(K111*J$105)/(A111+273)*1000</f>
        <v>4.423917467395729</v>
      </c>
      <c r="M111" s="2">
        <v>343.8</v>
      </c>
      <c r="N111" s="18">
        <f>1/M111</f>
        <v>0.0029086678301337987</v>
      </c>
      <c r="O111" s="3">
        <f>+(N111*M$105)/($A111+273)*1000</f>
        <v>4.463428895345983</v>
      </c>
      <c r="P111" s="2">
        <v>359.4</v>
      </c>
      <c r="Q111" s="18">
        <f>1/P111</f>
        <v>0.002782415136338342</v>
      </c>
      <c r="R111" s="3">
        <f>+(Q111*P$105)/($A111+273)*1000</f>
        <v>4.506895787760316</v>
      </c>
      <c r="S111">
        <v>374.4</v>
      </c>
      <c r="T111" s="18">
        <f>1/S111</f>
        <v>0.002670940170940171</v>
      </c>
      <c r="U111" s="3">
        <f>+(T111*S$105)/($A111+273)*1000</f>
        <v>4.554032687025015</v>
      </c>
      <c r="V111" s="2">
        <v>402.9</v>
      </c>
      <c r="W111" s="18">
        <f>1/V111</f>
        <v>0.002482005460412013</v>
      </c>
      <c r="X111" s="3">
        <f>+(W111*V$105)/($A111+273)*1000</f>
        <v>4.6550827049500665</v>
      </c>
      <c r="Y111" s="2">
        <v>429.2</v>
      </c>
      <c r="Z111" s="18">
        <f>1/Y111</f>
        <v>0.0023299161230195715</v>
      </c>
      <c r="AA111" s="3">
        <f>+(Z111*Y$105)/($A111+273)*1000</f>
        <v>4.76709181180475</v>
      </c>
      <c r="AB111" s="2">
        <v>453.6</v>
      </c>
      <c r="AC111" s="18">
        <f>1/AB111</f>
        <v>0.002204585537918871</v>
      </c>
      <c r="AD111" s="3">
        <f>+(AC111*AB$105)/($A111+273)*1000</f>
        <v>4.886549359410967</v>
      </c>
      <c r="AE111" s="2">
        <v>476.2</v>
      </c>
      <c r="AF111" s="18">
        <f>1/AE111</f>
        <v>0.0020999580008399833</v>
      </c>
      <c r="AG111" s="3">
        <f>+(AF111*AE$105)/($A111+273)*1000</f>
        <v>5.0126874700357655</v>
      </c>
      <c r="AH111" s="2">
        <v>497.4</v>
      </c>
      <c r="AI111" s="18">
        <f>1/AH111</f>
        <v>0.0020104543626859673</v>
      </c>
      <c r="AJ111" s="3">
        <f>+(AI111*AH$105)/($A111+273)*1000</f>
        <v>5.141827014542115</v>
      </c>
      <c r="AK111">
        <v>517.1</v>
      </c>
      <c r="AL111" s="18">
        <f>1/AK111</f>
        <v>0.0019338619222587505</v>
      </c>
      <c r="AM111" s="3">
        <f>+(AL111*AK$105)/($A111+273)*1000</f>
        <v>5.275667648105713</v>
      </c>
      <c r="AN111">
        <v>535.6</v>
      </c>
      <c r="AO111" s="18">
        <f>1/AN111</f>
        <v>0.0018670649738610904</v>
      </c>
      <c r="AP111" s="3">
        <f>+(AO111*AN$105)/($A111+273)*1000</f>
        <v>5.4117825329306966</v>
      </c>
      <c r="AQ111">
        <v>553.1</v>
      </c>
      <c r="AR111" s="18">
        <f>1/AQ111</f>
        <v>0.0018079913216416561</v>
      </c>
      <c r="AS111" s="3">
        <f>+(AR111*AQ$105)/($A111+273)*1000</f>
        <v>5.548822470511477</v>
      </c>
      <c r="AT111" s="2">
        <v>569.5</v>
      </c>
      <c r="AU111" s="18">
        <f>1/AT111</f>
        <v>0.001755926251097454</v>
      </c>
      <c r="AV111" s="3">
        <f>+(AU111*AT$105)/($A111+273)*1000</f>
        <v>5.688422637826364</v>
      </c>
      <c r="AW111">
        <v>585.1</v>
      </c>
      <c r="AX111" s="18">
        <f>1/AW111</f>
        <v>0.0017091095539224063</v>
      </c>
      <c r="AY111" s="3">
        <f>+(AX111*AW$105)/($A111+273)*1000</f>
        <v>5.828165571772912</v>
      </c>
      <c r="AZ111" s="3"/>
    </row>
    <row r="112" spans="3:52" ht="12.75">
      <c r="C112" s="3"/>
      <c r="D112" s="3">
        <f>+(D111-D113)*1000</f>
        <v>0.04207019687285651</v>
      </c>
      <c r="F112" s="3"/>
      <c r="G112" s="3">
        <f>+(G111-G113)*1000</f>
        <v>-0.10414487447629739</v>
      </c>
      <c r="J112" s="2"/>
      <c r="K112" s="3"/>
      <c r="L112" s="3">
        <f>+(L113-L111)/($A113-$A111)*1000</f>
        <v>1.9297501541761086</v>
      </c>
      <c r="M112" s="2"/>
      <c r="O112" s="3">
        <f>+(O113-O111)/($A113-$A111)*1000</f>
        <v>1.8639718552497087</v>
      </c>
      <c r="P112" s="2"/>
      <c r="R112" s="3">
        <f>+(R113-R111)/($A113-$A111)*1000</f>
        <v>1.7885237402626863</v>
      </c>
      <c r="U112" s="3">
        <f>+(U113-U111)/($A113-$A111)*1000</f>
        <v>1.703628602070868</v>
      </c>
      <c r="V112" s="2"/>
      <c r="X112" s="3">
        <f>+(X113-X111)/($A113-$A111)*1000</f>
        <v>1.550030926865471</v>
      </c>
      <c r="Y112" s="2"/>
      <c r="AA112" s="3">
        <f>+(AA113-AA111)/($A113-$A111)*1000</f>
        <v>1.3751460973391971</v>
      </c>
      <c r="AB112" s="2"/>
      <c r="AD112" s="3">
        <f>+(AD113-AD111)/($A113-$A111)*1000</f>
        <v>1.1950188226769853</v>
      </c>
      <c r="AE112" s="2"/>
      <c r="AG112" s="3">
        <f>+(AG113-AG111)/($A113-$A111)*1000</f>
        <v>0.982251784469028</v>
      </c>
      <c r="AH112" s="2"/>
      <c r="AJ112" s="3">
        <f>+(AJ113-AJ111)/($A113-$A111)*1000</f>
        <v>0.7960944549002136</v>
      </c>
      <c r="AM112" s="3">
        <f>+(AM113-AM111)/($A113-$A111)*1000</f>
        <v>0.611845255711998</v>
      </c>
      <c r="AP112" s="3">
        <f>+(AP113-AP111)/($A113-$A111)*1000</f>
        <v>0.4236833139984775</v>
      </c>
      <c r="AS112" s="3">
        <f>+(AS113-AS111)/($A113-$A111)*1000</f>
        <v>0.2489939042639655</v>
      </c>
      <c r="AT112" s="2"/>
      <c r="AV112" s="3">
        <f>+(AV113-AV111)/($A113-$A111)*1000</f>
        <v>0.06608305394541603</v>
      </c>
      <c r="AY112" s="3">
        <f>+(AY113-AY111)/($A113-$A111)*1000</f>
        <v>-0.1080523086776175</v>
      </c>
      <c r="AZ112" s="3">
        <f>AVERAGE(I112:AY112)</f>
        <v>1.0304978326608933</v>
      </c>
    </row>
    <row r="113" spans="1:52" ht="12.75">
      <c r="A113">
        <v>950</v>
      </c>
      <c r="B113">
        <v>0.14173</v>
      </c>
      <c r="C113" s="3">
        <f>1/B113</f>
        <v>7.055669230226488</v>
      </c>
      <c r="D113" s="3">
        <f>+(C113*B$105)/(A113+273)*1000</f>
        <v>4.615319202110539</v>
      </c>
      <c r="E113">
        <v>0.15944</v>
      </c>
      <c r="F113" s="3">
        <f>1/E113</f>
        <v>6.271951831409935</v>
      </c>
      <c r="G113" s="3">
        <f>+(F113*E$105)/(A113+273)*1000</f>
        <v>4.615500121233803</v>
      </c>
      <c r="J113" s="2">
        <v>307.5</v>
      </c>
      <c r="K113" s="18">
        <f>1/J113</f>
        <v>0.0032520325203252032</v>
      </c>
      <c r="L113" s="3">
        <f>+(K113*J$105)/(A113+273)*1000</f>
        <v>4.520404975104534</v>
      </c>
      <c r="M113" s="2">
        <v>323</v>
      </c>
      <c r="N113" s="18">
        <f>1/M113</f>
        <v>0.0030959752321981426</v>
      </c>
      <c r="O113" s="3">
        <f>+(N113*M$105)/($A113+273)*1000</f>
        <v>4.556627488108468</v>
      </c>
      <c r="P113" s="2">
        <v>338</v>
      </c>
      <c r="Q113" s="18">
        <f>1/P113</f>
        <v>0.0029585798816568047</v>
      </c>
      <c r="R113" s="3">
        <f>+(Q113*P$105)/($A113+273)*1000</f>
        <v>4.59632197477345</v>
      </c>
      <c r="S113">
        <v>352.5</v>
      </c>
      <c r="T113" s="18">
        <f>1/S113</f>
        <v>0.0028368794326241137</v>
      </c>
      <c r="U113" s="3">
        <f>+(T113*S$105)/($A113+273)*1000</f>
        <v>4.639214117128558</v>
      </c>
      <c r="V113" s="2">
        <v>380.1</v>
      </c>
      <c r="W113" s="18">
        <f>1/V113</f>
        <v>0.002630886608787161</v>
      </c>
      <c r="X113" s="3">
        <f>+(W113*V$105)/($A113+273)*1000</f>
        <v>4.73258425129334</v>
      </c>
      <c r="Y113" s="2">
        <v>405.8</v>
      </c>
      <c r="Z113" s="18">
        <f>1/Y113</f>
        <v>0.0024642681123706258</v>
      </c>
      <c r="AA113" s="3">
        <f>+(Z113*Y$105)/($A113+273)*1000</f>
        <v>4.83584911667171</v>
      </c>
      <c r="AB113" s="2">
        <v>429.8</v>
      </c>
      <c r="AC113" s="18">
        <f>1/AB113</f>
        <v>0.002326663564448581</v>
      </c>
      <c r="AD113" s="3">
        <f>+(AC113*AB$105)/($A113+273)*1000</f>
        <v>4.9463003005448165</v>
      </c>
      <c r="AE113" s="2">
        <v>452.3</v>
      </c>
      <c r="AF113" s="18">
        <f>1/AE113</f>
        <v>0.002210921954455008</v>
      </c>
      <c r="AG113" s="3">
        <f>+(AF113*AE$105)/($A113+273)*1000</f>
        <v>5.061800059259217</v>
      </c>
      <c r="AH113" s="2">
        <v>473.4</v>
      </c>
      <c r="AI113" s="18">
        <f>1/AH113</f>
        <v>0.0021123785382340518</v>
      </c>
      <c r="AJ113" s="3">
        <f>+(AI113*AH$105)/($A113+273)*1000</f>
        <v>5.181631737287126</v>
      </c>
      <c r="AK113">
        <v>493.1</v>
      </c>
      <c r="AL113" s="18">
        <f>1/AK113</f>
        <v>0.002027986209693774</v>
      </c>
      <c r="AM113" s="3">
        <f>+(AL113*AK$105)/($A113+273)*1000</f>
        <v>5.306259910891313</v>
      </c>
      <c r="AN113">
        <v>511.7</v>
      </c>
      <c r="AO113" s="18">
        <f>1/AN113</f>
        <v>0.0019542700801250734</v>
      </c>
      <c r="AP113" s="3">
        <f>+(AO113*AN$105)/($A113+273)*1000</f>
        <v>5.43296669863062</v>
      </c>
      <c r="AQ113">
        <v>529.3</v>
      </c>
      <c r="AR113" s="18">
        <f>1/AQ113</f>
        <v>0.0018892877385225772</v>
      </c>
      <c r="AS113" s="3">
        <f>+(AR113*AQ$105)/($A113+273)*1000</f>
        <v>5.5612721657246755</v>
      </c>
      <c r="AT113" s="2">
        <v>545.9</v>
      </c>
      <c r="AU113" s="18">
        <f>1/AT113</f>
        <v>0.0018318373328448435</v>
      </c>
      <c r="AV113" s="3">
        <f>+(AU113*AT$105)/($A113+273)*1000</f>
        <v>5.691726790523635</v>
      </c>
      <c r="AW113">
        <v>561.7</v>
      </c>
      <c r="AX113" s="18">
        <f>1/AW113</f>
        <v>0.0017803097739006585</v>
      </c>
      <c r="AY113" s="3">
        <f>+(AX113*AW$105)/($A113+273)*1000</f>
        <v>5.822762956339031</v>
      </c>
      <c r="AZ113" s="3"/>
    </row>
    <row r="114" spans="3:52" ht="12.75">
      <c r="C114" s="3"/>
      <c r="D114" s="3">
        <f>+(D113-D115)*1000</f>
        <v>-0.10943736263779869</v>
      </c>
      <c r="F114" s="3"/>
      <c r="G114" s="3">
        <f>+(G113-G115)*1000</f>
        <v>0.07148176062710121</v>
      </c>
      <c r="J114" s="2"/>
      <c r="K114" s="3"/>
      <c r="L114" s="3">
        <f>+(L115-L113)/($A115-$A113)*1000</f>
        <v>1.658644554797899</v>
      </c>
      <c r="M114" s="2"/>
      <c r="O114" s="3">
        <f>+(O115-O113)/($A115-$A113)*1000</f>
        <v>1.61803849555465</v>
      </c>
      <c r="P114" s="2"/>
      <c r="R114" s="3">
        <f>+(R115-R113)/($A115-$A113)*1000</f>
        <v>1.5616477850092636</v>
      </c>
      <c r="U114" s="3">
        <f>+(U115-U113)/($A115-$A113)*1000</f>
        <v>1.4906596842316766</v>
      </c>
      <c r="V114" s="2"/>
      <c r="X114" s="3">
        <f>+(X115-X113)/($A115-$A113)*1000</f>
        <v>1.3594871832630062</v>
      </c>
      <c r="Y114" s="2"/>
      <c r="AA114" s="3">
        <f>+(AA115-AA113)/($A115-$A113)*1000</f>
        <v>1.2212145835529675</v>
      </c>
      <c r="AB114" s="2"/>
      <c r="AD114" s="3">
        <f>+(AD115-AD113)/($A115-$A113)*1000</f>
        <v>1.0455789885980415</v>
      </c>
      <c r="AE114" s="2"/>
      <c r="AG114" s="3">
        <f>+(AG115-AG113)/($A115-$A113)*1000</f>
        <v>0.9013878293193756</v>
      </c>
      <c r="AH114" s="2"/>
      <c r="AJ114" s="3">
        <f>+(AJ115-AJ113)/($A115-$A113)*1000</f>
        <v>0.7357382974374538</v>
      </c>
      <c r="AM114" s="3">
        <f>+(AM115-AM113)/($A115-$A113)*1000</f>
        <v>0.5703473765145972</v>
      </c>
      <c r="AP114" s="3">
        <f>+(AP115-AP113)/($A115-$A113)*1000</f>
        <v>0.3774590500590769</v>
      </c>
      <c r="AS114" s="3">
        <f>+(AS115-AS113)/($A115-$A113)*1000</f>
        <v>0.2654076998177324</v>
      </c>
      <c r="AT114" s="2"/>
      <c r="AV114" s="3">
        <f>+(AV115-AV113)/($A115-$A113)*1000</f>
        <v>0.09961025310255778</v>
      </c>
      <c r="AY114" s="3">
        <f>+(AY115-AY113)/($A115-$A113)*1000</f>
        <v>-0.056525370405786646</v>
      </c>
      <c r="AZ114" s="3">
        <f>AVERAGE(I114:AY114)</f>
        <v>0.917764029346608</v>
      </c>
    </row>
    <row r="115" spans="1:52" ht="12.75">
      <c r="A115">
        <v>1000</v>
      </c>
      <c r="B115">
        <v>0.13616</v>
      </c>
      <c r="C115" s="3">
        <f>1/B115</f>
        <v>7.344300822561692</v>
      </c>
      <c r="D115" s="3">
        <f>+(C115*B$105)/(A115+273)*1000</f>
        <v>4.615428639473177</v>
      </c>
      <c r="E115">
        <v>0.15318</v>
      </c>
      <c r="F115" s="3">
        <f>1/E115</f>
        <v>6.5282673978326144</v>
      </c>
      <c r="G115" s="3">
        <f>+(F115*E$105)/(A115+273)*1000</f>
        <v>4.615428639473176</v>
      </c>
      <c r="J115" s="2">
        <v>290.1</v>
      </c>
      <c r="K115" s="18">
        <f>1/J115</f>
        <v>0.0034470872113064456</v>
      </c>
      <c r="L115" s="3">
        <f>+(K115*J$105)/(A115+273)*1000</f>
        <v>4.603337202844429</v>
      </c>
      <c r="M115" s="2">
        <v>304.9</v>
      </c>
      <c r="N115" s="18">
        <f>1/M115</f>
        <v>0.003279763857002296</v>
      </c>
      <c r="O115" s="3">
        <f>+(N115*M$105)/($A115+273)*1000</f>
        <v>4.637529412886201</v>
      </c>
      <c r="P115" s="2">
        <v>319.3</v>
      </c>
      <c r="Q115" s="18">
        <f>1/P115</f>
        <v>0.0031318509238960224</v>
      </c>
      <c r="R115" s="3">
        <f>+(Q115*P$105)/($A115+273)*1000</f>
        <v>4.674404364023913</v>
      </c>
      <c r="S115">
        <v>333.3</v>
      </c>
      <c r="T115" s="18">
        <f>1/S115</f>
        <v>0.003000300030003</v>
      </c>
      <c r="U115" s="3">
        <f>+(T115*S$105)/($A115+273)*1000</f>
        <v>4.713747101340142</v>
      </c>
      <c r="V115" s="2">
        <v>360</v>
      </c>
      <c r="W115" s="18">
        <f>1/V115</f>
        <v>0.002777777777777778</v>
      </c>
      <c r="X115" s="3">
        <f>+(W115*V$105)/($A115+273)*1000</f>
        <v>4.80055861045649</v>
      </c>
      <c r="Y115" s="2">
        <v>385</v>
      </c>
      <c r="Z115" s="18">
        <f>1/Y115</f>
        <v>0.0025974025974025974</v>
      </c>
      <c r="AA115" s="3">
        <f>+(Z115*Y$105)/($A115+273)*1000</f>
        <v>4.8969098458493585</v>
      </c>
      <c r="AB115" s="2">
        <v>408.6</v>
      </c>
      <c r="AC115" s="18">
        <f>1/AB115</f>
        <v>0.0024473813020068525</v>
      </c>
      <c r="AD115" s="3">
        <f>+(AC115*AB$105)/($A115+273)*1000</f>
        <v>4.998579249974719</v>
      </c>
      <c r="AE115" s="2">
        <v>430.7</v>
      </c>
      <c r="AF115" s="18">
        <f>1/AE115</f>
        <v>0.0023218017181332717</v>
      </c>
      <c r="AG115" s="3">
        <f>+(AF115*AE$105)/($A115+273)*1000</f>
        <v>5.106869450725186</v>
      </c>
      <c r="AH115" s="2">
        <v>451.6</v>
      </c>
      <c r="AI115" s="18">
        <f>1/AH115</f>
        <v>0.0022143489813994683</v>
      </c>
      <c r="AJ115" s="3">
        <f>+(AI115*AH$105)/($A115+273)*1000</f>
        <v>5.218418652158999</v>
      </c>
      <c r="AK115">
        <v>471.2</v>
      </c>
      <c r="AL115" s="18">
        <f>1/AK115</f>
        <v>0.0021222410865874364</v>
      </c>
      <c r="AM115" s="3">
        <f>+(AL115*AK$105)/($A115+273)*1000</f>
        <v>5.334777279717043</v>
      </c>
      <c r="AN115">
        <v>489.9</v>
      </c>
      <c r="AO115" s="18">
        <f>1/AN115</f>
        <v>0.0020412329046744235</v>
      </c>
      <c r="AP115" s="3">
        <f>+(AO115*AN$105)/($A115+273)*1000</f>
        <v>5.451839651133574</v>
      </c>
      <c r="AQ115">
        <v>507.3</v>
      </c>
      <c r="AR115" s="18">
        <f>1/AQ115</f>
        <v>0.001971220185294697</v>
      </c>
      <c r="AS115" s="3">
        <f>+(AR115*AQ$105)/($A115+273)*1000</f>
        <v>5.574542550715562</v>
      </c>
      <c r="AT115" s="2">
        <v>524</v>
      </c>
      <c r="AU115" s="18">
        <f>1/AT115</f>
        <v>0.0019083969465648854</v>
      </c>
      <c r="AV115" s="3">
        <f>+(AU115*AT$105)/($A115+273)*1000</f>
        <v>5.696707303178763</v>
      </c>
      <c r="AW115">
        <v>539.9</v>
      </c>
      <c r="AX115" s="18">
        <f>1/AW115</f>
        <v>0.0018521948508983146</v>
      </c>
      <c r="AY115" s="3">
        <f>+(AX115*AW$105)/($A115+273)*1000</f>
        <v>5.819936687818742</v>
      </c>
      <c r="AZ115" s="3"/>
    </row>
    <row r="116" spans="3:52" ht="12.75">
      <c r="C116" s="3"/>
      <c r="D116" s="3">
        <f>+(D115-D117)*1000</f>
        <v>-0.11077400253789449</v>
      </c>
      <c r="F116" s="3"/>
      <c r="G116" s="3">
        <f>+(G115-G117)*1000</f>
        <v>-0.11077400253789449</v>
      </c>
      <c r="J116" s="2"/>
      <c r="K116" s="3"/>
      <c r="L116" s="3"/>
      <c r="M116" s="2"/>
      <c r="O116" s="3">
        <f>+O115</f>
        <v>4.637529412886201</v>
      </c>
      <c r="P116" s="2"/>
      <c r="R116" s="3">
        <f>+R115</f>
        <v>4.674404364023913</v>
      </c>
      <c r="U116" s="3">
        <f>+U115</f>
        <v>4.713747101340142</v>
      </c>
      <c r="V116" s="2"/>
      <c r="X116" s="3">
        <f>+X115</f>
        <v>4.80055861045649</v>
      </c>
      <c r="Y116" s="2"/>
      <c r="AA116" s="3">
        <f>+AA115</f>
        <v>4.8969098458493585</v>
      </c>
      <c r="AB116" s="2"/>
      <c r="AD116" s="3">
        <f>+AD115</f>
        <v>4.998579249974719</v>
      </c>
      <c r="AE116" s="2"/>
      <c r="AG116" s="3">
        <f>+AG115</f>
        <v>5.106869450725186</v>
      </c>
      <c r="AH116" s="2"/>
      <c r="AJ116" s="3">
        <f>+AJ115</f>
        <v>5.218418652158999</v>
      </c>
      <c r="AM116" s="3">
        <f>+AM115</f>
        <v>5.334777279717043</v>
      </c>
      <c r="AP116" s="3">
        <f>+AP115</f>
        <v>5.451839651133574</v>
      </c>
      <c r="AS116" s="3">
        <f>+AS115</f>
        <v>5.574542550715562</v>
      </c>
      <c r="AT116" s="2"/>
      <c r="AV116" s="3">
        <f>+AV115</f>
        <v>5.696707303178763</v>
      </c>
      <c r="AY116" s="3">
        <f>+AY115</f>
        <v>5.819936687818742</v>
      </c>
      <c r="AZ116" s="3">
        <f>AVERAGE(I116:AY116)</f>
        <v>5.14806308922913</v>
      </c>
    </row>
    <row r="117" spans="1:52" ht="12.75">
      <c r="A117">
        <v>1100</v>
      </c>
      <c r="B117">
        <v>0.12624</v>
      </c>
      <c r="C117" s="3">
        <f>1/B117</f>
        <v>7.921419518377694</v>
      </c>
      <c r="D117" s="3">
        <f>+(C117*B$105)/(A117+273)*1000</f>
        <v>4.615539413475715</v>
      </c>
      <c r="E117">
        <v>0.14202</v>
      </c>
      <c r="F117" s="3">
        <f>1/E117</f>
        <v>7.041261794113505</v>
      </c>
      <c r="G117" s="3">
        <f>+(F117*E$105)/(A117+273)*1000</f>
        <v>4.615539413475714</v>
      </c>
      <c r="J117" s="2"/>
      <c r="K117" s="13"/>
      <c r="M117" s="2"/>
      <c r="P117" s="2"/>
      <c r="V117" s="2"/>
      <c r="Y117" s="2"/>
      <c r="AB117" s="2"/>
      <c r="AE117" s="2"/>
      <c r="AH117" s="2"/>
      <c r="AT117" s="2"/>
      <c r="AZ117" s="3"/>
    </row>
    <row r="118" spans="3:52" ht="12.75">
      <c r="C118" s="3"/>
      <c r="D118" s="3">
        <f>+(D117-D119)*1000</f>
        <v>0.010385288621961308</v>
      </c>
      <c r="F118" s="3"/>
      <c r="G118" s="3">
        <f>+(G117-G119)*1000</f>
        <v>0.05396748597075174</v>
      </c>
      <c r="J118" s="2"/>
      <c r="L118" s="3">
        <f>+(L119-L115)/($A119-$A115)*1000</f>
        <v>1.137923949923887</v>
      </c>
      <c r="M118" s="2"/>
      <c r="O118" s="3">
        <f>+(O119-O115)/($A119-$A115)*1000</f>
        <v>1.106506547502284</v>
      </c>
      <c r="P118" s="2"/>
      <c r="R118" s="3">
        <f>+(R119-R115)/($A119-$A115)*1000</f>
        <v>1.085403080782812</v>
      </c>
      <c r="U118" s="3">
        <f>+(U119-U115)/($A119-$A115)*1000</f>
        <v>1.0553713461636027</v>
      </c>
      <c r="V118" s="2"/>
      <c r="X118" s="3">
        <f>+(X119-X115)/($A119-$A115)*1000</f>
        <v>0.9729691058050394</v>
      </c>
      <c r="Y118" s="2"/>
      <c r="AA118" s="3">
        <f>+(AA119-AA115)/($A119-$A115)*1000</f>
        <v>0.8785874805963889</v>
      </c>
      <c r="AB118" s="2"/>
      <c r="AD118" s="3">
        <f>+(AD119-AD115)/($A119-$A115)*1000</f>
        <v>0.7750632746084474</v>
      </c>
      <c r="AE118" s="2"/>
      <c r="AG118" s="3">
        <f>+(AG119-AG115)/($A119-$A115)*1000</f>
        <v>0.6702647206463874</v>
      </c>
      <c r="AH118" s="2"/>
      <c r="AJ118" s="3">
        <f>+(AJ119-AJ115)/($A119-$A115)*1000</f>
        <v>0.5587818739918093</v>
      </c>
      <c r="AM118" s="3">
        <f>+(AM119-AM115)/($A119-$A115)*1000</f>
        <v>0.4341395932678038</v>
      </c>
      <c r="AP118" s="3">
        <f>+(AP119-AP115)/($A119-$A115)*1000</f>
        <v>0.3246273678239442</v>
      </c>
      <c r="AS118" s="3">
        <f>+(AS119-AS115)/($A119-$A115)*1000</f>
        <v>0.19978728502187515</v>
      </c>
      <c r="AT118" s="2"/>
      <c r="AV118" s="3">
        <f>+(AV119-AV115)/($A119-$A115)*1000</f>
        <v>0.07900974791466453</v>
      </c>
      <c r="AY118" s="3">
        <f>+(AY119-AY115)/($A119-$A115)*1000</f>
        <v>-0.03153418054226531</v>
      </c>
      <c r="AZ118" s="3">
        <f>AVERAGE(I118:AY118)</f>
        <v>0.6604929423933343</v>
      </c>
    </row>
    <row r="119" spans="1:52" ht="12.75">
      <c r="A119">
        <v>1200</v>
      </c>
      <c r="B119">
        <v>0.11767</v>
      </c>
      <c r="C119" s="3">
        <f>1/B119</f>
        <v>8.498342823149486</v>
      </c>
      <c r="D119" s="3">
        <f>+(C119*B$105)/(A119+273)*1000</f>
        <v>4.615529028187093</v>
      </c>
      <c r="E119">
        <v>0.13238</v>
      </c>
      <c r="F119" s="3">
        <f>1/E119</f>
        <v>7.554011179936547</v>
      </c>
      <c r="G119" s="3">
        <f>+(F119*E$105)/(A119+273)*1000</f>
        <v>4.615485445989743</v>
      </c>
      <c r="J119" s="2">
        <v>238.9</v>
      </c>
      <c r="K119" s="18">
        <f>1/J119</f>
        <v>0.004185851820845542</v>
      </c>
      <c r="L119" s="3">
        <f>+(K119*J$105)/(A119+273)*1000</f>
        <v>4.830921992829206</v>
      </c>
      <c r="M119" s="2">
        <v>251.5</v>
      </c>
      <c r="N119" s="18">
        <f>1/M119</f>
        <v>0.003976143141153081</v>
      </c>
      <c r="O119" s="3">
        <f>+(N119*M$105)/($A119+273)*1000</f>
        <v>4.858830722386657</v>
      </c>
      <c r="P119" s="2">
        <v>263.7</v>
      </c>
      <c r="Q119" s="18">
        <f>1/P119</f>
        <v>0.0037921880925293897</v>
      </c>
      <c r="R119" s="3">
        <f>+(Q119*P$105)/($A119+273)*1000</f>
        <v>4.891484980180476</v>
      </c>
      <c r="S119">
        <v>275.7</v>
      </c>
      <c r="T119" s="18">
        <f>1/S119</f>
        <v>0.0036271309394269135</v>
      </c>
      <c r="U119" s="3">
        <f>+(T119*S$105)/($A119+273)*1000</f>
        <v>4.924821370572863</v>
      </c>
      <c r="V119" s="2">
        <v>299</v>
      </c>
      <c r="W119" s="18">
        <f>1/V119</f>
        <v>0.0033444816053511705</v>
      </c>
      <c r="X119" s="3">
        <f>+(W119*V$105)/($A119+273)*1000</f>
        <v>4.995152431617498</v>
      </c>
      <c r="Y119" s="2">
        <v>321.2</v>
      </c>
      <c r="Z119" s="18">
        <f>1/Y119</f>
        <v>0.0031133250311332506</v>
      </c>
      <c r="AA119" s="3">
        <f>+(Z119*Y$105)/($A119+273)*1000</f>
        <v>5.072627341968636</v>
      </c>
      <c r="AB119" s="2">
        <v>342.5</v>
      </c>
      <c r="AC119" s="18">
        <f>1/AB119</f>
        <v>0.00291970802919708</v>
      </c>
      <c r="AD119" s="3">
        <f>+(AC119*AB$105)/($A119+273)*1000</f>
        <v>5.153591904896408</v>
      </c>
      <c r="AE119" s="2">
        <v>362.7</v>
      </c>
      <c r="AF119" s="18">
        <f>1/AE119</f>
        <v>0.0027570995312930797</v>
      </c>
      <c r="AG119" s="3">
        <f>+(AF119*AE$105)/($A119+273)*1000</f>
        <v>5.240922394854463</v>
      </c>
      <c r="AH119" s="2">
        <v>382.1</v>
      </c>
      <c r="AI119" s="18">
        <f>1/AH119</f>
        <v>0.0026171159382360636</v>
      </c>
      <c r="AJ119" s="3">
        <f>+(AI119*AH$105)/($A119+273)*1000</f>
        <v>5.3301750269573605</v>
      </c>
      <c r="AK119">
        <v>400.7</v>
      </c>
      <c r="AL119" s="18">
        <f>1/AK119</f>
        <v>0.0024956326428749688</v>
      </c>
      <c r="AM119" s="3">
        <f>+(AL119*AK$105)/($A119+273)*1000</f>
        <v>5.421605198370604</v>
      </c>
      <c r="AN119">
        <v>418.4</v>
      </c>
      <c r="AO119" s="18">
        <f>1/AN119</f>
        <v>0.002390057361376673</v>
      </c>
      <c r="AP119" s="3">
        <f>+(AO119*AN$105)/($A119+273)*1000</f>
        <v>5.516765124698363</v>
      </c>
      <c r="AQ119">
        <v>435.3</v>
      </c>
      <c r="AR119" s="18">
        <f>1/AQ119</f>
        <v>0.002297266253158741</v>
      </c>
      <c r="AS119" s="3">
        <f>+(AR119*AQ$105)/($A119+273)*1000</f>
        <v>5.614500007719937</v>
      </c>
      <c r="AT119" s="2">
        <v>451.6</v>
      </c>
      <c r="AU119" s="18">
        <f>1/AT119</f>
        <v>0.0022143489813994683</v>
      </c>
      <c r="AV119" s="3">
        <f>+(AU119*AT$105)/($A119+273)*1000</f>
        <v>5.712509252761696</v>
      </c>
      <c r="AW119">
        <v>467.1</v>
      </c>
      <c r="AX119" s="18">
        <f>1/AW119</f>
        <v>0.002140869192892314</v>
      </c>
      <c r="AY119" s="3">
        <f>+(AX119*AW$105)/($A119+273)*1000</f>
        <v>5.813629851710289</v>
      </c>
      <c r="AZ119" s="3"/>
    </row>
    <row r="120" spans="3:52" ht="12.75">
      <c r="C120" s="3"/>
      <c r="D120" s="3">
        <f>+(D119-D121)*1000</f>
        <v>0.025563588263999293</v>
      </c>
      <c r="F120" s="3"/>
      <c r="G120" s="3">
        <f>+(G119-G121)*1000</f>
        <v>-0.15764540798990367</v>
      </c>
      <c r="J120" s="2"/>
      <c r="K120" s="3"/>
      <c r="L120" s="3"/>
      <c r="M120" s="2"/>
      <c r="O120" s="3">
        <f>+O119</f>
        <v>4.858830722386657</v>
      </c>
      <c r="P120" s="2"/>
      <c r="R120" s="3">
        <f>+R119</f>
        <v>4.891484980180476</v>
      </c>
      <c r="U120" s="3">
        <f>+U119</f>
        <v>4.924821370572863</v>
      </c>
      <c r="V120" s="2"/>
      <c r="X120" s="3">
        <f>+X119</f>
        <v>4.995152431617498</v>
      </c>
      <c r="Y120" s="2"/>
      <c r="AA120" s="3">
        <f>+AA119</f>
        <v>5.072627341968636</v>
      </c>
      <c r="AB120" s="2"/>
      <c r="AD120" s="3">
        <f>+AD119</f>
        <v>5.153591904896408</v>
      </c>
      <c r="AE120" s="2"/>
      <c r="AG120" s="3">
        <f>+AG119</f>
        <v>5.240922394854463</v>
      </c>
      <c r="AH120" s="2"/>
      <c r="AJ120" s="3">
        <f>+AJ119</f>
        <v>5.3301750269573605</v>
      </c>
      <c r="AM120" s="3">
        <f>+AM119</f>
        <v>5.421605198370604</v>
      </c>
      <c r="AP120" s="3">
        <f>+AP119</f>
        <v>5.516765124698363</v>
      </c>
      <c r="AS120" s="3">
        <f>+AS119</f>
        <v>5.614500007719937</v>
      </c>
      <c r="AT120" s="2"/>
      <c r="AV120" s="3">
        <f>+AV119</f>
        <v>5.712509252761696</v>
      </c>
      <c r="AY120" s="3">
        <f>+AY119</f>
        <v>5.813629851710289</v>
      </c>
      <c r="AZ120" s="3">
        <f>AVERAGE(I120:AY120)</f>
        <v>5.27281658528425</v>
      </c>
    </row>
    <row r="121" spans="1:52" ht="12.75">
      <c r="A121">
        <v>1300</v>
      </c>
      <c r="B121">
        <v>0.11019</v>
      </c>
      <c r="C121" s="3">
        <f>1/B121</f>
        <v>9.075233687267447</v>
      </c>
      <c r="D121" s="3">
        <f>+(C121*B$105)/(A121+273)*1000</f>
        <v>4.615503464598829</v>
      </c>
      <c r="E121">
        <v>0.12396</v>
      </c>
      <c r="F121" s="3">
        <f>1/E121</f>
        <v>8.067118425298483</v>
      </c>
      <c r="G121" s="3">
        <f>+(F121*E$105)/(A121+273)*1000</f>
        <v>4.615643091397733</v>
      </c>
      <c r="J121" s="2"/>
      <c r="M121" s="2"/>
      <c r="P121" s="2"/>
      <c r="V121" s="2"/>
      <c r="Y121" s="2"/>
      <c r="AB121" s="2"/>
      <c r="AE121" s="2"/>
      <c r="AH121" s="2"/>
      <c r="AT121" s="2"/>
      <c r="AZ121" s="3"/>
    </row>
    <row r="122" spans="3:52" ht="12.75">
      <c r="C122" s="3"/>
      <c r="D122" s="3">
        <f>+(D121-D123)*1000</f>
        <v>-0.1616412037543924</v>
      </c>
      <c r="F122" s="3"/>
      <c r="G122" s="3">
        <f>+(G121-G123)*1000</f>
        <v>-0.022014404850168034</v>
      </c>
      <c r="J122" s="2"/>
      <c r="L122" s="3">
        <f>+(L123-L119)/($A123-$A119)*1000</f>
        <v>0.5930440310424379</v>
      </c>
      <c r="M122" s="2"/>
      <c r="O122" s="3">
        <f>+(O123-O119)/($A123-$A119)*1000</f>
        <v>0.5996810979830025</v>
      </c>
      <c r="P122" s="2"/>
      <c r="R122" s="3">
        <f>+(R123-R119)/($A123-$A119)*1000</f>
        <v>0.5797091220853989</v>
      </c>
      <c r="U122" s="3">
        <f>+(U123-U119)/($A123-$A119)*1000</f>
        <v>0.5646260254093693</v>
      </c>
      <c r="V122" s="2"/>
      <c r="X122" s="3">
        <f>+(X123-X119)/($A123-$A119)*1000</f>
        <v>0.5285626798325227</v>
      </c>
      <c r="Y122" s="2"/>
      <c r="AA122" s="3">
        <f>+(AA123-AA119)/($A123-$A119)*1000</f>
        <v>0.4752767426683979</v>
      </c>
      <c r="AB122" s="2"/>
      <c r="AD122" s="3">
        <f>+(AD123-AD119)/($A123-$A119)*1000</f>
        <v>0.4305307169833972</v>
      </c>
      <c r="AE122" s="2"/>
      <c r="AG122" s="3">
        <f>+(AG123-AG119)/($A123-$A119)*1000</f>
        <v>0.36110496801366576</v>
      </c>
      <c r="AH122" s="2"/>
      <c r="AJ122" s="3">
        <f>+(AJ123-AJ119)/($A123-$A119)*1000</f>
        <v>0.2900186994124665</v>
      </c>
      <c r="AM122" s="3">
        <f>+(AM123-AM119)/($A123-$A119)*1000</f>
        <v>0.22452073356267643</v>
      </c>
      <c r="AP122" s="3">
        <f>+(AP123-AP119)/($A123-$A119)*1000</f>
        <v>0.15678789118027225</v>
      </c>
      <c r="AS122" s="3">
        <f>+(AS123-AS119)/($A123-$A119)*1000</f>
        <v>0.07798494733914918</v>
      </c>
      <c r="AT122" s="2"/>
      <c r="AV122" s="3">
        <f>+(AV123-AV119)/($A123-$A119)*1000</f>
        <v>0.0009446638254662076</v>
      </c>
      <c r="AY122" s="3">
        <f>+(AY123-AY119)/($A123-$A119)*1000</f>
        <v>-0.08033979194452812</v>
      </c>
      <c r="AZ122" s="3">
        <f>AVERAGE(I122:AY122)</f>
        <v>0.3430323233852639</v>
      </c>
    </row>
    <row r="123" spans="1:52" ht="12.75">
      <c r="A123">
        <v>1400</v>
      </c>
      <c r="B123">
        <v>0.1036</v>
      </c>
      <c r="C123" s="3">
        <f>1/B123</f>
        <v>9.652509652509652</v>
      </c>
      <c r="D123" s="3">
        <f>+(C123*B$105)/(A123+273)*1000</f>
        <v>4.6156651058025835</v>
      </c>
      <c r="E123">
        <v>0.11655</v>
      </c>
      <c r="F123" s="3">
        <f>1/E123</f>
        <v>8.58000858000858</v>
      </c>
      <c r="G123" s="3">
        <f>+(F123*E$105)/(A123+273)*1000</f>
        <v>4.6156651058025835</v>
      </c>
      <c r="J123" s="2">
        <v>205.3</v>
      </c>
      <c r="K123" s="18">
        <f>1/J123</f>
        <v>0.004870920603994155</v>
      </c>
      <c r="L123" s="3">
        <f>+(K123*J$105)/(A123+273)*1000</f>
        <v>4.949530799037694</v>
      </c>
      <c r="M123" s="2">
        <v>216.1</v>
      </c>
      <c r="N123" s="18">
        <f>1/M123</f>
        <v>0.004627487274409995</v>
      </c>
      <c r="O123" s="3">
        <f>+(N123*M$105)/($A123+273)*1000</f>
        <v>4.978766941983258</v>
      </c>
      <c r="P123" s="2">
        <v>226.8</v>
      </c>
      <c r="Q123" s="18">
        <f>1/P123</f>
        <v>0.004409171075837742</v>
      </c>
      <c r="R123" s="3">
        <f>+(Q123*P$105)/($A123+273)*1000</f>
        <v>5.007426804597555</v>
      </c>
      <c r="S123">
        <v>237.3</v>
      </c>
      <c r="T123" s="18">
        <f>1/S123</f>
        <v>0.004214075010535188</v>
      </c>
      <c r="U123" s="3">
        <f>+(T123*S$105)/($A123+273)*1000</f>
        <v>5.037746575654737</v>
      </c>
      <c r="V123" s="2">
        <v>257.8</v>
      </c>
      <c r="W123" s="18">
        <f>1/V123</f>
        <v>0.003878975950349108</v>
      </c>
      <c r="X123" s="3">
        <f>+(W123*V$105)/($A123+273)*1000</f>
        <v>5.100864967584003</v>
      </c>
      <c r="Y123" s="2">
        <v>277.6</v>
      </c>
      <c r="Z123" s="18">
        <f>1/Y123</f>
        <v>0.0036023054755043226</v>
      </c>
      <c r="AA123" s="3">
        <f>+(Z123*Y$105)/($A123+273)*1000</f>
        <v>5.167682690502316</v>
      </c>
      <c r="AB123" s="2">
        <v>296.6</v>
      </c>
      <c r="AC123" s="18">
        <f>1/AB123</f>
        <v>0.0033715441672285905</v>
      </c>
      <c r="AD123" s="3">
        <f>+(AC123*AB$105)/($A123+273)*1000</f>
        <v>5.2396980482930875</v>
      </c>
      <c r="AE123" s="2">
        <v>315</v>
      </c>
      <c r="AF123" s="18">
        <f>1/AE123</f>
        <v>0.0031746031746031746</v>
      </c>
      <c r="AG123" s="3">
        <f>+(AF123*AE$105)/($A123+273)*1000</f>
        <v>5.313143388457196</v>
      </c>
      <c r="AH123" s="2">
        <v>332.8</v>
      </c>
      <c r="AI123" s="18">
        <f>1/AH123</f>
        <v>0.003004807692307692</v>
      </c>
      <c r="AJ123" s="3">
        <f>+(AI123*AH$105)/($A123+273)*1000</f>
        <v>5.388178766839854</v>
      </c>
      <c r="AK123">
        <v>349.9</v>
      </c>
      <c r="AL123" s="18">
        <f>1/AK123</f>
        <v>0.0028579594169762792</v>
      </c>
      <c r="AM123" s="3">
        <f>+(AL123*AK$105)/($A123+273)*1000</f>
        <v>5.466509345083139</v>
      </c>
      <c r="AN123">
        <v>366.3</v>
      </c>
      <c r="AO123" s="18">
        <f>1/AN123</f>
        <v>0.0027300027300027297</v>
      </c>
      <c r="AP123" s="3">
        <f>+(AO123*AN$105)/($A123+273)*1000</f>
        <v>5.548122702934418</v>
      </c>
      <c r="AQ123">
        <v>382.2</v>
      </c>
      <c r="AR123" s="18">
        <f>1/AQ123</f>
        <v>0.0026164311878597592</v>
      </c>
      <c r="AS123" s="3">
        <f>+(AR123*AQ$105)/($A123+273)*1000</f>
        <v>5.630096997187767</v>
      </c>
      <c r="AT123" s="2">
        <v>397.6</v>
      </c>
      <c r="AU123" s="18">
        <f>1/AT123</f>
        <v>0.0025150905432595573</v>
      </c>
      <c r="AV123" s="3">
        <f>+(AU123*AT$105)/($A123+273)*1000</f>
        <v>5.712698185526789</v>
      </c>
      <c r="AW123">
        <v>412.4</v>
      </c>
      <c r="AX123" s="18">
        <f>1/AW123</f>
        <v>0.0024248302618816685</v>
      </c>
      <c r="AY123" s="3">
        <f>+(AX123*AW$105)/($A123+273)*1000</f>
        <v>5.797561893321383</v>
      </c>
      <c r="AZ123" s="3"/>
    </row>
    <row r="124" spans="3:52" ht="12.75">
      <c r="C124" s="3"/>
      <c r="D124" s="3">
        <f>+(D123-D125)*1000</f>
        <v>0.15125603017462907</v>
      </c>
      <c r="F124" s="3"/>
      <c r="G124" s="3">
        <f>+(G123-G125)*1000</f>
        <v>-0.26845060343205773</v>
      </c>
      <c r="J124" s="2"/>
      <c r="K124" s="3"/>
      <c r="L124" s="3"/>
      <c r="M124" s="2"/>
      <c r="O124" s="3">
        <f>+O123</f>
        <v>4.978766941983258</v>
      </c>
      <c r="P124" s="2"/>
      <c r="R124" s="3">
        <f>+R123</f>
        <v>5.007426804597555</v>
      </c>
      <c r="U124" s="3">
        <f>+U123</f>
        <v>5.037746575654737</v>
      </c>
      <c r="V124" s="2"/>
      <c r="X124" s="3">
        <f>+X123</f>
        <v>5.100864967584003</v>
      </c>
      <c r="Y124" s="2"/>
      <c r="AA124" s="3">
        <f>+AA123</f>
        <v>5.167682690502316</v>
      </c>
      <c r="AB124" s="2"/>
      <c r="AD124" s="3">
        <f>+AD123</f>
        <v>5.2396980482930875</v>
      </c>
      <c r="AE124" s="2"/>
      <c r="AG124" s="3">
        <f>+AG123</f>
        <v>5.313143388457196</v>
      </c>
      <c r="AH124" s="2"/>
      <c r="AJ124" s="3">
        <f>+AJ123</f>
        <v>5.388178766839854</v>
      </c>
      <c r="AM124" s="3">
        <f>+AM123</f>
        <v>5.466509345083139</v>
      </c>
      <c r="AP124" s="3">
        <f>+AP123</f>
        <v>5.548122702934418</v>
      </c>
      <c r="AS124" s="3">
        <f>+AS123</f>
        <v>5.630096997187767</v>
      </c>
      <c r="AT124" s="2"/>
      <c r="AV124" s="3">
        <f>+AV123</f>
        <v>5.712698185526789</v>
      </c>
      <c r="AY124" s="3">
        <f>+AY123</f>
        <v>5.797561893321383</v>
      </c>
      <c r="AZ124" s="3">
        <f>AVERAGE(I124:AY124)</f>
        <v>5.337576715997347</v>
      </c>
    </row>
    <row r="125" spans="1:52" ht="12.75">
      <c r="A125">
        <v>1500</v>
      </c>
      <c r="B125">
        <v>0.09776</v>
      </c>
      <c r="C125" s="3">
        <f>1/B125</f>
        <v>10.229132569558102</v>
      </c>
      <c r="D125" s="3">
        <f>+(C125*B$105)/(A125+273)*1000</f>
        <v>4.615513849772409</v>
      </c>
      <c r="E125">
        <v>0.10997</v>
      </c>
      <c r="F125" s="3">
        <f>1/E125</f>
        <v>9.09338910611985</v>
      </c>
      <c r="G125" s="3">
        <f>+(F125*E$105)/(A125+273)*1000</f>
        <v>4.6159335564060155</v>
      </c>
      <c r="J125" s="2"/>
      <c r="M125" s="2"/>
      <c r="P125" s="2"/>
      <c r="V125" s="2"/>
      <c r="Y125" s="2"/>
      <c r="AB125" s="2"/>
      <c r="AE125" s="2"/>
      <c r="AH125" s="2"/>
      <c r="AT125" s="2"/>
      <c r="AZ125" s="3"/>
    </row>
    <row r="126" spans="3:52" ht="12.75">
      <c r="C126" s="3"/>
      <c r="D126" s="3">
        <f>+(D125-D127)*1000</f>
        <v>-0.02822660535173327</v>
      </c>
      <c r="F126" s="3"/>
      <c r="G126" s="3">
        <f>+(G125-G127)*1000</f>
        <v>0.058948178373263715</v>
      </c>
      <c r="J126" s="2"/>
      <c r="L126" s="3">
        <f>+(L127-L123)/($A127-$A123)*1000</f>
        <v>0.32513082427273243</v>
      </c>
      <c r="M126" s="2"/>
      <c r="O126" s="3">
        <f>+(O127-O123)/($A127-$A123)*1000</f>
        <v>0.3034671629991559</v>
      </c>
      <c r="P126" s="2"/>
      <c r="R126" s="3">
        <f>+(R127-R123)/($A127-$A123)*1000</f>
        <v>0.3105765317722131</v>
      </c>
      <c r="U126" s="3">
        <f>+(U127-U123)/($A127-$A123)*1000</f>
        <v>0.29588906373096524</v>
      </c>
      <c r="V126" s="2"/>
      <c r="X126" s="3">
        <f>+(X127-X123)/($A127-$A123)*1000</f>
        <v>0.2767600020052319</v>
      </c>
      <c r="Y126" s="2"/>
      <c r="AA126" s="3">
        <f>+(AA127-AA123)/($A127-$A123)*1000</f>
        <v>0.24804402395409045</v>
      </c>
      <c r="AB126" s="2"/>
      <c r="AD126" s="3">
        <f>+(AD127-AD123)/($A127-$A123)*1000</f>
        <v>0.20218220396996056</v>
      </c>
      <c r="AE126" s="2"/>
      <c r="AG126" s="3">
        <f>+(AG127-AG123)/($A127-$A123)*1000</f>
        <v>0.16761501619027452</v>
      </c>
      <c r="AH126" s="2"/>
      <c r="AJ126" s="3">
        <f>+(AJ127-AJ123)/($A127-$A123)*1000</f>
        <v>0.12413639653733545</v>
      </c>
      <c r="AM126" s="3">
        <f>+(AM127-AM123)/($A127-$A123)*1000</f>
        <v>0.08223271925682063</v>
      </c>
      <c r="AP126" s="3">
        <f>+(AP127-AP123)/($A127-$A123)*1000</f>
        <v>0.024293504737382676</v>
      </c>
      <c r="AS126" s="3">
        <f>+(AS127-AS123)/($A127-$A123)*1000</f>
        <v>-0.025665160565839784</v>
      </c>
      <c r="AT126" s="2"/>
      <c r="AV126" s="3">
        <f>+(AV127-AV123)/($A127-$A123)*1000</f>
        <v>-0.07667889726340249</v>
      </c>
      <c r="AY126" s="3">
        <f>+(AY127-AY123)/($A127-$A123)*1000</f>
        <v>-0.13599483893886433</v>
      </c>
      <c r="AZ126" s="3">
        <f>AVERAGE(I126:AY126)</f>
        <v>0.15157061090414686</v>
      </c>
    </row>
    <row r="127" spans="1:52" ht="12.75">
      <c r="A127">
        <v>1600</v>
      </c>
      <c r="B127">
        <v>0.09254</v>
      </c>
      <c r="C127" s="3">
        <f>1/B127</f>
        <v>10.80613788631943</v>
      </c>
      <c r="D127" s="3">
        <f>+(C127*B$105)/(A127+273)*1000</f>
        <v>4.615542076377761</v>
      </c>
      <c r="E127">
        <v>0.1041</v>
      </c>
      <c r="F127" s="3">
        <f>1/E127</f>
        <v>9.606147934678194</v>
      </c>
      <c r="G127" s="3">
        <f>+(F127*E$105)/(A127+273)*1000</f>
        <v>4.615874608227642</v>
      </c>
      <c r="J127" s="2">
        <v>181</v>
      </c>
      <c r="K127" s="18">
        <f>1/J127</f>
        <v>0.0055248618784530384</v>
      </c>
      <c r="L127" s="3">
        <f>+(K127*J$105)/(A127+273)*1000</f>
        <v>5.0145569638922405</v>
      </c>
      <c r="M127" s="2">
        <v>190.7</v>
      </c>
      <c r="N127" s="18">
        <f>1/M127</f>
        <v>0.005243838489774515</v>
      </c>
      <c r="O127" s="3">
        <f>+(N127*M$105)/($A127+273)*1000</f>
        <v>5.039460374583089</v>
      </c>
      <c r="P127" s="2">
        <v>200.1</v>
      </c>
      <c r="Q127" s="18">
        <f>1/P127</f>
        <v>0.004997501249375313</v>
      </c>
      <c r="R127" s="3">
        <f>+(Q127*P$105)/($A127+273)*1000</f>
        <v>5.069542110951998</v>
      </c>
      <c r="S127">
        <v>209.5</v>
      </c>
      <c r="T127" s="18">
        <f>1/S127</f>
        <v>0.00477326968973747</v>
      </c>
      <c r="U127" s="3">
        <f>+(T127*S$105)/($A127+273)*1000</f>
        <v>5.09692438840093</v>
      </c>
      <c r="V127" s="2">
        <v>227.8</v>
      </c>
      <c r="W127" s="18">
        <f>1/V127</f>
        <v>0.004389815627743635</v>
      </c>
      <c r="X127" s="3">
        <f>+(W127*V$105)/($A127+273)*1000</f>
        <v>5.156216967985049</v>
      </c>
      <c r="Y127" s="2">
        <v>245.6</v>
      </c>
      <c r="Z127" s="18">
        <f>1/Y127</f>
        <v>0.004071661237785016</v>
      </c>
      <c r="AA127" s="3">
        <f>+(Z127*Y$105)/($A127+273)*1000</f>
        <v>5.217291495293134</v>
      </c>
      <c r="AB127" s="2">
        <v>262.9</v>
      </c>
      <c r="AC127" s="18">
        <f>1/AB127</f>
        <v>0.0038037276531000383</v>
      </c>
      <c r="AD127" s="3">
        <f>+(AC127*AB$105)/($A127+273)*1000</f>
        <v>5.28013448908708</v>
      </c>
      <c r="AE127" s="2">
        <v>279.6</v>
      </c>
      <c r="AF127" s="18">
        <f>1/AE127</f>
        <v>0.0035765379113018594</v>
      </c>
      <c r="AG127" s="3">
        <f>+(AF127*AE$105)/($A127+273)*1000</f>
        <v>5.346666391695251</v>
      </c>
      <c r="AH127" s="2">
        <v>295.9</v>
      </c>
      <c r="AI127" s="18">
        <f>1/AH127</f>
        <v>0.003379520108144644</v>
      </c>
      <c r="AJ127" s="3">
        <f>+(AI127*AH$105)/($A127+273)*1000</f>
        <v>5.413006046147321</v>
      </c>
      <c r="AK127">
        <v>311.6</v>
      </c>
      <c r="AL127" s="18">
        <f>1/AK127</f>
        <v>0.0032092426187419767</v>
      </c>
      <c r="AM127" s="3">
        <f>+(AL127*AK$105)/($A127+273)*1000</f>
        <v>5.482955888934503</v>
      </c>
      <c r="AN127">
        <v>326.9</v>
      </c>
      <c r="AO127" s="18">
        <f>1/AN127</f>
        <v>0.003059039461609055</v>
      </c>
      <c r="AP127" s="3">
        <f>+(AO127*AN$105)/($A127+273)*1000</f>
        <v>5.552981403881894</v>
      </c>
      <c r="AQ127">
        <v>341.7</v>
      </c>
      <c r="AR127" s="18">
        <f>1/AQ127</f>
        <v>0.00292654375182909</v>
      </c>
      <c r="AS127" s="3">
        <f>+(AR127*AQ$105)/($A127+273)*1000</f>
        <v>5.624963965074599</v>
      </c>
      <c r="AT127" s="2">
        <v>356.1</v>
      </c>
      <c r="AU127" s="18">
        <f>1/AT127</f>
        <v>0.002808199943836001</v>
      </c>
      <c r="AV127" s="3">
        <f>+(AU127*AT$105)/($A127+273)*1000</f>
        <v>5.697362406074109</v>
      </c>
      <c r="AW127">
        <v>370.1</v>
      </c>
      <c r="AX127" s="18">
        <f>1/AW127</f>
        <v>0.002701972439881113</v>
      </c>
      <c r="AY127" s="3">
        <f>+(AX127*AW$105)/($A127+273)*1000</f>
        <v>5.77036292553361</v>
      </c>
      <c r="AZ127" s="3"/>
    </row>
    <row r="128" spans="3:52" ht="12.75">
      <c r="C128" s="3"/>
      <c r="D128" s="3">
        <f>+(D127-D129)*1000</f>
        <v>0.01677623159235253</v>
      </c>
      <c r="F128" s="3"/>
      <c r="G128" s="3">
        <f>+(G127-G129)*1000</f>
        <v>0.2909310034091561</v>
      </c>
      <c r="J128" s="2"/>
      <c r="K128" s="3"/>
      <c r="L128" s="3"/>
      <c r="M128" s="2"/>
      <c r="O128" s="3">
        <f>+O127</f>
        <v>5.039460374583089</v>
      </c>
      <c r="P128" s="2"/>
      <c r="R128" s="3">
        <f>+R127</f>
        <v>5.069542110951998</v>
      </c>
      <c r="U128" s="3">
        <f>+U127</f>
        <v>5.09692438840093</v>
      </c>
      <c r="V128" s="2"/>
      <c r="X128" s="3">
        <f>+X127</f>
        <v>5.156216967985049</v>
      </c>
      <c r="Y128" s="2"/>
      <c r="AA128" s="3">
        <f>+AA127</f>
        <v>5.217291495293134</v>
      </c>
      <c r="AB128" s="2"/>
      <c r="AD128" s="3">
        <f>+AD127</f>
        <v>5.28013448908708</v>
      </c>
      <c r="AE128" s="2"/>
      <c r="AG128" s="3">
        <f>+AG127</f>
        <v>5.346666391695251</v>
      </c>
      <c r="AH128" s="2"/>
      <c r="AJ128" s="3">
        <f>+AJ127</f>
        <v>5.413006046147321</v>
      </c>
      <c r="AM128" s="3">
        <f>+AM127</f>
        <v>5.482955888934503</v>
      </c>
      <c r="AP128" s="3">
        <f>+AP127</f>
        <v>5.552981403881894</v>
      </c>
      <c r="AS128" s="3">
        <f>+AS127</f>
        <v>5.624963965074599</v>
      </c>
      <c r="AT128" s="2"/>
      <c r="AV128" s="3">
        <f>+AV127</f>
        <v>5.697362406074109</v>
      </c>
      <c r="AY128" s="3">
        <f>+AY127</f>
        <v>5.77036292553361</v>
      </c>
      <c r="AZ128" s="3">
        <f>AVERAGE(I128:AY128)</f>
        <v>5.365220681049428</v>
      </c>
    </row>
    <row r="129" spans="1:52" ht="12.75">
      <c r="A129">
        <v>1700</v>
      </c>
      <c r="B129">
        <v>0.08785</v>
      </c>
      <c r="C129" s="3">
        <f>1/B129</f>
        <v>11.383039271485487</v>
      </c>
      <c r="D129" s="3">
        <f>+(C129*B$105)/(A129+273)*1000</f>
        <v>4.615525300146168</v>
      </c>
      <c r="E129">
        <v>0.09883</v>
      </c>
      <c r="F129" s="3">
        <f>1/E129</f>
        <v>10.118385105737124</v>
      </c>
      <c r="G129" s="3">
        <f>+(F129*E$105)/(A129+273)*1000</f>
        <v>4.615583677224233</v>
      </c>
      <c r="J129" s="2"/>
      <c r="M129" s="2"/>
      <c r="P129" s="2"/>
      <c r="V129" s="2"/>
      <c r="Y129" s="2"/>
      <c r="AB129" s="2"/>
      <c r="AE129" s="2"/>
      <c r="AH129" s="2"/>
      <c r="AT129" s="2"/>
      <c r="AZ129" s="3"/>
    </row>
    <row r="130" spans="3:52" ht="12.75">
      <c r="C130" s="3"/>
      <c r="D130" s="3">
        <f>+(D129-D131)*1000</f>
        <v>-0.12036550580685201</v>
      </c>
      <c r="F130" s="3"/>
      <c r="G130" s="3">
        <f>+(G129-G131)*1000</f>
        <v>-0.12332754194499529</v>
      </c>
      <c r="J130" s="2"/>
      <c r="L130" s="3">
        <f>+(L131-L127)/($A131-$A127)*1000</f>
        <v>0.14454405426168826</v>
      </c>
      <c r="M130" s="2"/>
      <c r="O130" s="3">
        <f>+(O131-O127)/($A131-$A127)*1000</f>
        <v>0.16212574789687295</v>
      </c>
      <c r="P130" s="2"/>
      <c r="R130" s="3">
        <f>+(R131-R127)/($A131-$A127)*1000</f>
        <v>0.14022238461038672</v>
      </c>
      <c r="U130" s="3">
        <f>+(U131-U127)/($A131-$A127)*1000</f>
        <v>0.13368223385578304</v>
      </c>
      <c r="V130" s="2"/>
      <c r="X130" s="3">
        <f>+(X131-X127)/($A131-$A127)*1000</f>
        <v>0.11603250485744177</v>
      </c>
      <c r="Y130" s="2"/>
      <c r="AA130" s="3">
        <f>+(AA131-AA127)/($A131-$A127)*1000</f>
        <v>0.09496274776510383</v>
      </c>
      <c r="AB130" s="2"/>
      <c r="AD130" s="3">
        <f>+(AD131-AD127)/($A131-$A127)*1000</f>
        <v>0.08203312554802888</v>
      </c>
      <c r="AE130" s="2"/>
      <c r="AG130" s="3">
        <f>+(AG131-AG127)/($A131-$A127)*1000</f>
        <v>0.045008036925522354</v>
      </c>
      <c r="AH130" s="2"/>
      <c r="AJ130" s="3">
        <f>+(AJ131-AJ127)/($A131-$A127)*1000</f>
        <v>0.015396470130832894</v>
      </c>
      <c r="AM130" s="3">
        <f>+(AM131-AM127)/($A131-$A127)*1000</f>
        <v>-0.01583488626558438</v>
      </c>
      <c r="AP130" s="3">
        <f>+(AP131-AP127)/($A131-$A127)*1000</f>
        <v>-0.05055977461499772</v>
      </c>
      <c r="AS130" s="3">
        <f>+(AS131-AS127)/($A131-$A127)*1000</f>
        <v>-0.08779038602479527</v>
      </c>
      <c r="AT130" s="2"/>
      <c r="AV130" s="3">
        <f>+(AV131-AV127)/($A131-$A127)*1000</f>
        <v>-0.12833218817503322</v>
      </c>
      <c r="AY130" s="3">
        <f>+(AY131-AY127)/($A131-$A127)*1000</f>
        <v>-0.16357985922011764</v>
      </c>
      <c r="AZ130" s="3">
        <f>AVERAGE(I130:AY130)</f>
        <v>0.03485072939650946</v>
      </c>
    </row>
    <row r="131" spans="1:52" ht="12.75">
      <c r="A131">
        <v>1800</v>
      </c>
      <c r="B131">
        <v>0.08361</v>
      </c>
      <c r="C131" s="3">
        <f>1/B131</f>
        <v>11.96029183112068</v>
      </c>
      <c r="D131" s="3">
        <f>+(C131*B$105)/(A131+273)*1000</f>
        <v>4.615645665651975</v>
      </c>
      <c r="E131">
        <v>0.09406</v>
      </c>
      <c r="F131" s="3">
        <f>1/E131</f>
        <v>10.631511800978098</v>
      </c>
      <c r="G131" s="3">
        <f>+(F131*E$105)/(A131+273)*1000</f>
        <v>4.615707004766178</v>
      </c>
      <c r="J131" s="2">
        <v>162.6</v>
      </c>
      <c r="K131" s="18">
        <f>1/J131</f>
        <v>0.006150061500615006</v>
      </c>
      <c r="L131" s="3">
        <f>+(K131*J$105)/(A131+273)*1000</f>
        <v>5.043465774744578</v>
      </c>
      <c r="M131" s="2">
        <v>171.2</v>
      </c>
      <c r="N131" s="18">
        <f>1/M131</f>
        <v>0.0058411214953271035</v>
      </c>
      <c r="O131" s="3">
        <f>+(N131*M$105)/($A131+273)*1000</f>
        <v>5.071885524162464</v>
      </c>
      <c r="P131" s="2">
        <v>179.8</v>
      </c>
      <c r="Q131" s="18">
        <f>1/P131</f>
        <v>0.005561735261401557</v>
      </c>
      <c r="R131" s="3">
        <f>+(Q131*P$105)/($A131+273)*1000</f>
        <v>5.097586587874075</v>
      </c>
      <c r="S131">
        <v>188.3</v>
      </c>
      <c r="T131" s="18">
        <f>1/S131</f>
        <v>0.005310674455655868</v>
      </c>
      <c r="U131" s="3">
        <f>+(T131*S$105)/($A131+273)*1000</f>
        <v>5.123660835172086</v>
      </c>
      <c r="V131" s="2">
        <v>204.9</v>
      </c>
      <c r="W131" s="18">
        <f>1/V131</f>
        <v>0.004880429477794046</v>
      </c>
      <c r="X131" s="3">
        <f>+(W131*V$105)/($A131+273)*1000</f>
        <v>5.1794234689565375</v>
      </c>
      <c r="Y131" s="2">
        <v>221.1</v>
      </c>
      <c r="Z131" s="18">
        <f>1/Y131</f>
        <v>0.004522840343735866</v>
      </c>
      <c r="AA131" s="3">
        <f>+(Z131*Y$105)/($A131+273)*1000</f>
        <v>5.236284044846155</v>
      </c>
      <c r="AB131" s="2">
        <v>236.8</v>
      </c>
      <c r="AC131" s="18">
        <f>1/AB131</f>
        <v>0.004222972972972972</v>
      </c>
      <c r="AD131" s="3">
        <f>+(AC131*AB$105)/($A131+273)*1000</f>
        <v>5.296541114196685</v>
      </c>
      <c r="AE131" s="2">
        <v>252.2</v>
      </c>
      <c r="AF131" s="18">
        <f>1/AE131</f>
        <v>0.003965107057890563</v>
      </c>
      <c r="AG131" s="3">
        <f>+(AF131*AE$105)/($A131+273)*1000</f>
        <v>5.355667999080356</v>
      </c>
      <c r="AH131" s="2">
        <v>267.2</v>
      </c>
      <c r="AI131" s="18">
        <f>1/AH131</f>
        <v>0.0037425149700598802</v>
      </c>
      <c r="AJ131" s="3">
        <f>+(AI131*AH$105)/($A131+273)*1000</f>
        <v>5.416085340173487</v>
      </c>
      <c r="AK131">
        <v>281.7</v>
      </c>
      <c r="AL131" s="18">
        <f>1/AK131</f>
        <v>0.003549875754348598</v>
      </c>
      <c r="AM131" s="3">
        <f>+(AL131*AK$105)/($A131+273)*1000</f>
        <v>5.4797889116813865</v>
      </c>
      <c r="AN131">
        <v>295.9</v>
      </c>
      <c r="AO131" s="18">
        <f>1/AN131</f>
        <v>0.003379520108144644</v>
      </c>
      <c r="AP131" s="3">
        <f>+(AO131*AN$105)/($A131+273)*1000</f>
        <v>5.5428694489588946</v>
      </c>
      <c r="AQ131">
        <v>309.7</v>
      </c>
      <c r="AR131" s="18">
        <f>1/AQ131</f>
        <v>0.003228931223764934</v>
      </c>
      <c r="AS131" s="3">
        <f>+(AR131*AQ$105)/($A131+273)*1000</f>
        <v>5.60740588786964</v>
      </c>
      <c r="AT131" s="2">
        <v>323.2</v>
      </c>
      <c r="AU131" s="18">
        <f>1/AT131</f>
        <v>0.003094059405940594</v>
      </c>
      <c r="AV131" s="3">
        <f>+(AU131*AT$105)/($A131+273)*1000</f>
        <v>5.671695968439102</v>
      </c>
      <c r="AW131">
        <v>336.3</v>
      </c>
      <c r="AX131" s="18">
        <f>1/AW131</f>
        <v>0.002973535533749628</v>
      </c>
      <c r="AY131" s="3">
        <f>+(AX131*AW$105)/($A131+273)*1000</f>
        <v>5.737646953689587</v>
      </c>
      <c r="AZ131" s="3"/>
    </row>
    <row r="132" spans="3:52" ht="12.75">
      <c r="C132" s="3"/>
      <c r="D132" s="3">
        <f>+(D131-D133)*1000</f>
        <v>-0.13448658568648852</v>
      </c>
      <c r="F132" s="3"/>
      <c r="G132" s="3">
        <f>+(G131-G133)*1000</f>
        <v>-0.07314747148257084</v>
      </c>
      <c r="J132" s="2"/>
      <c r="K132" s="3"/>
      <c r="L132" s="3"/>
      <c r="M132" s="2"/>
      <c r="O132" s="3">
        <f>+O131</f>
        <v>5.071885524162464</v>
      </c>
      <c r="P132" s="2"/>
      <c r="R132" s="3">
        <f>+R131</f>
        <v>5.097586587874075</v>
      </c>
      <c r="U132" s="3">
        <f>+U131</f>
        <v>5.123660835172086</v>
      </c>
      <c r="V132" s="2"/>
      <c r="X132" s="3">
        <f>+X131</f>
        <v>5.1794234689565375</v>
      </c>
      <c r="Y132" s="2"/>
      <c r="AA132" s="3">
        <f>+AA131</f>
        <v>5.236284044846155</v>
      </c>
      <c r="AB132" s="2"/>
      <c r="AD132" s="3">
        <f>+AD131</f>
        <v>5.296541114196685</v>
      </c>
      <c r="AE132" s="2"/>
      <c r="AG132" s="3">
        <f>+AG131</f>
        <v>5.355667999080356</v>
      </c>
      <c r="AH132" s="2"/>
      <c r="AJ132" s="3">
        <f>+AJ131</f>
        <v>5.416085340173487</v>
      </c>
      <c r="AM132" s="3">
        <f>+AM131</f>
        <v>5.4797889116813865</v>
      </c>
      <c r="AP132" s="3">
        <f>+AP131</f>
        <v>5.5428694489588946</v>
      </c>
      <c r="AS132" s="3">
        <f>+AS131</f>
        <v>5.60740588786964</v>
      </c>
      <c r="AT132" s="2"/>
      <c r="AV132" s="3">
        <f>+AV131</f>
        <v>5.671695968439102</v>
      </c>
      <c r="AY132" s="3">
        <f>+AY131</f>
        <v>5.737646953689587</v>
      </c>
      <c r="AZ132" s="3">
        <f>AVERAGE(I132:AY132)</f>
        <v>5.37050323731542</v>
      </c>
    </row>
    <row r="133" spans="1:52" ht="12.75">
      <c r="A133">
        <v>1900</v>
      </c>
      <c r="B133">
        <v>0.07976</v>
      </c>
      <c r="C133" s="3">
        <f>1/B133</f>
        <v>12.537612838515548</v>
      </c>
      <c r="D133" s="3">
        <f>+(C133*B$105)/(A133+273)*1000</f>
        <v>4.615780152237662</v>
      </c>
      <c r="E133">
        <v>0.08973</v>
      </c>
      <c r="F133" s="3">
        <f>1/E133</f>
        <v>11.144544745347153</v>
      </c>
      <c r="G133" s="3">
        <f>+(F133*E$105)/(A133+273)*1000</f>
        <v>4.615780152237661</v>
      </c>
      <c r="J133" s="2"/>
      <c r="M133" s="2"/>
      <c r="P133" s="2"/>
      <c r="V133" s="2"/>
      <c r="Y133" s="2"/>
      <c r="AB133" s="2"/>
      <c r="AE133" s="2"/>
      <c r="AH133" s="2"/>
      <c r="AT133" s="2"/>
      <c r="AZ133" s="3"/>
    </row>
    <row r="134" spans="3:52" ht="12.75">
      <c r="C134" s="3"/>
      <c r="D134" s="3">
        <f>+(D133-D135)*1000</f>
        <v>-0.05938964026430682</v>
      </c>
      <c r="F134" s="3"/>
      <c r="G134" s="3">
        <f>+(G133-G135)*1000</f>
        <v>-0.12665239880327306</v>
      </c>
      <c r="J134" s="2"/>
      <c r="L134" s="3">
        <f>+(L135-L131)/(A135-A131)*1000</f>
        <v>0.06699332945180547</v>
      </c>
      <c r="M134" s="2"/>
      <c r="O134" s="3">
        <f>+(O135-O131)/($A135-$A131)*1000</f>
        <v>0.05472422140306854</v>
      </c>
      <c r="P134" s="2"/>
      <c r="R134" s="3">
        <f>+(R135-R131)/($A135-$A131)*1000</f>
        <v>0.05912366322606388</v>
      </c>
      <c r="U134" s="3">
        <f>+(U135-U131)/($A135-$A131)*1000</f>
        <v>0.0495608378641732</v>
      </c>
      <c r="V134" s="2"/>
      <c r="X134" s="3">
        <f>+(X135-X131)/($A135-$A131)*1000</f>
        <v>0.03760542953477053</v>
      </c>
      <c r="Y134" s="2"/>
      <c r="AA134" s="3">
        <f>+(AA135-AA131)/($A135-$A131)*1000</f>
        <v>0.03191878283415939</v>
      </c>
      <c r="AB134" s="2"/>
      <c r="AD134" s="3">
        <f>+(AD135-AD131)/($A135-$A131)*1000</f>
        <v>-0.004401485992144849</v>
      </c>
      <c r="AE134" s="2"/>
      <c r="AG134" s="3">
        <f>+(AG135-AG131)/($A135-$A131)*1000</f>
        <v>-0.022211026273377676</v>
      </c>
      <c r="AH134" s="2"/>
      <c r="AJ134" s="3">
        <f>+(AJ135-AJ131)/($A135-$A131)*1000</f>
        <v>-0.0344918851764664</v>
      </c>
      <c r="AM134" s="3">
        <f>+(AM135-AM131)/($A135-$A131)*1000</f>
        <v>-0.0730311214355206</v>
      </c>
      <c r="AP134" s="3">
        <f>+(AP135-AP131)/($A135-$A131)*1000</f>
        <v>-0.0958003182838496</v>
      </c>
      <c r="AS134" s="3">
        <f>+(AS135-AS131)/($A135-$A131)*1000</f>
        <v>-0.12356551959382678</v>
      </c>
      <c r="AT134" s="2"/>
      <c r="AV134" s="3">
        <f>+(AV135-AV131)/($A135-$A131)*1000</f>
        <v>-0.15673584634680715</v>
      </c>
      <c r="AY134" s="3">
        <f>+(AY135-AY131)/($A135-$A131)*1000</f>
        <v>-0.18501440335303432</v>
      </c>
      <c r="AZ134" s="3">
        <f>AVERAGE(I134:AY134)</f>
        <v>-0.028237524438641883</v>
      </c>
    </row>
    <row r="135" spans="1:52" ht="12.75">
      <c r="A135">
        <v>2000</v>
      </c>
      <c r="B135">
        <v>0.07625</v>
      </c>
      <c r="C135" s="3">
        <f>1/B135</f>
        <v>13.114754098360656</v>
      </c>
      <c r="D135" s="3">
        <f>+(C135*B$105)/(A135+273)*1000</f>
        <v>4.615839541877926</v>
      </c>
      <c r="E135">
        <v>0.08578</v>
      </c>
      <c r="F135" s="3">
        <f>1/E135</f>
        <v>11.657729074376313</v>
      </c>
      <c r="G135" s="3">
        <f>+(F135*E$105)/(A135+273)*1000</f>
        <v>4.615906804636464</v>
      </c>
      <c r="H135">
        <f>+E135+E135-B135</f>
        <v>0.09530999999999999</v>
      </c>
      <c r="J135" s="2">
        <v>147.9</v>
      </c>
      <c r="K135" s="18">
        <f>1/J135</f>
        <v>0.0067613252197430695</v>
      </c>
      <c r="L135" s="3">
        <f>+(K135*J$105)/(A135+273)*1000</f>
        <v>5.056864440634939</v>
      </c>
      <c r="M135" s="2">
        <v>155.8</v>
      </c>
      <c r="N135" s="18">
        <f>1/M135</f>
        <v>0.006418485237483953</v>
      </c>
      <c r="O135" s="3">
        <f>+(N135*M$105)/($A135+273)*1000</f>
        <v>5.082830368443077</v>
      </c>
      <c r="P135" s="2">
        <v>163.6</v>
      </c>
      <c r="Q135" s="18">
        <f>1/P135</f>
        <v>0.006112469437652812</v>
      </c>
      <c r="R135" s="3">
        <f>+(Q135*P$105)/($A135+273)*1000</f>
        <v>5.109411320519288</v>
      </c>
      <c r="S135">
        <v>171.4</v>
      </c>
      <c r="T135" s="18">
        <f>1/S135</f>
        <v>0.005834305717619603</v>
      </c>
      <c r="U135" s="3">
        <f>+(T135*S$105)/($A135+273)*1000</f>
        <v>5.133573002744921</v>
      </c>
      <c r="V135" s="2">
        <v>186.6</v>
      </c>
      <c r="W135" s="18">
        <f>1/V135</f>
        <v>0.0053590568060021436</v>
      </c>
      <c r="X135" s="3">
        <f>+(W135*V$105)/($A135+273)*1000</f>
        <v>5.186944554863492</v>
      </c>
      <c r="Y135" s="2">
        <v>201.4</v>
      </c>
      <c r="Z135" s="18">
        <f>1/Y135</f>
        <v>0.004965243296921549</v>
      </c>
      <c r="AA135" s="3">
        <f>+(Z135*Y$105)/($A135+273)*1000</f>
        <v>5.242667801412987</v>
      </c>
      <c r="AB135" s="2">
        <v>216</v>
      </c>
      <c r="AC135" s="18">
        <f>1/AB135</f>
        <v>0.004629629629629629</v>
      </c>
      <c r="AD135" s="3">
        <f>+(AC135*AB$105)/($A135+273)*1000</f>
        <v>5.295660816998256</v>
      </c>
      <c r="AE135" s="2">
        <v>230.2</v>
      </c>
      <c r="AF135" s="18">
        <f>1/AE135</f>
        <v>0.004344048653344918</v>
      </c>
      <c r="AG135" s="3">
        <f>+(AF135*AE$105)/($A135+273)*1000</f>
        <v>5.35122579382568</v>
      </c>
      <c r="AH135" s="2">
        <v>244</v>
      </c>
      <c r="AI135" s="18">
        <f>1/AH135</f>
        <v>0.004098360655737705</v>
      </c>
      <c r="AJ135" s="3">
        <f>+(AI135*AH$105)/($A135+273)*1000</f>
        <v>5.409186963138194</v>
      </c>
      <c r="AK135">
        <v>257.6</v>
      </c>
      <c r="AL135" s="18">
        <f>1/AK135</f>
        <v>0.003881987577639751</v>
      </c>
      <c r="AM135" s="3">
        <f>+(AL135*AK$105)/($A135+273)*1000</f>
        <v>5.465182687394282</v>
      </c>
      <c r="AN135">
        <v>270.8</v>
      </c>
      <c r="AO135" s="18">
        <f>1/AN135</f>
        <v>0.003692762186115214</v>
      </c>
      <c r="AP135" s="3">
        <f>+(AO135*AN$105)/($A135+273)*1000</f>
        <v>5.523709385302125</v>
      </c>
      <c r="AQ135">
        <v>283.7</v>
      </c>
      <c r="AR135" s="18">
        <f>1/AQ135</f>
        <v>0.0035248501938667607</v>
      </c>
      <c r="AS135" s="3">
        <f>+(AR135*AQ$105)/($A135+273)*1000</f>
        <v>5.582692783950875</v>
      </c>
      <c r="AT135" s="2">
        <v>296.4</v>
      </c>
      <c r="AU135" s="18">
        <f>1/AT135</f>
        <v>0.0033738191632928477</v>
      </c>
      <c r="AV135" s="3">
        <f>+(AU135*AT$105)/($A135+273)*1000</f>
        <v>5.6403487991697405</v>
      </c>
      <c r="AW135">
        <v>308.7</v>
      </c>
      <c r="AX135" s="18">
        <f>1/AW135</f>
        <v>0.0032393909944930356</v>
      </c>
      <c r="AY135" s="3">
        <f>+(AX135*AW$105)/($A135+273)*1000</f>
        <v>5.70064407301898</v>
      </c>
      <c r="AZ135" s="3"/>
    </row>
    <row r="136" spans="3:52" ht="12.75">
      <c r="C136" s="3">
        <f>+D108+D110+D112+D116+D118+D120+D122+D124+D126+D128+D130+D132+D134</f>
        <v>-0.6068648603028137</v>
      </c>
      <c r="F136" s="3">
        <f>+G108+G110+G112+G116+G118+G120+G122+G124+G126+G128+G130+G132+G134</f>
        <v>-0.7598188773059178</v>
      </c>
      <c r="J136" s="2"/>
      <c r="K136" s="3"/>
      <c r="L136" s="3">
        <f>+L135</f>
        <v>5.056864440634939</v>
      </c>
      <c r="M136" s="2"/>
      <c r="O136" s="3">
        <f>+O135</f>
        <v>5.082830368443077</v>
      </c>
      <c r="P136" s="2"/>
      <c r="R136" s="3">
        <f>+R135</f>
        <v>5.109411320519288</v>
      </c>
      <c r="U136" s="3">
        <f>+U135</f>
        <v>5.133573002744921</v>
      </c>
      <c r="X136" s="3">
        <f>+X135</f>
        <v>5.186944554863492</v>
      </c>
      <c r="Y136" s="2"/>
      <c r="AA136" s="3">
        <f>+AA135</f>
        <v>5.242667801412987</v>
      </c>
      <c r="AB136" s="2"/>
      <c r="AD136" s="3">
        <f>+AD135</f>
        <v>5.295660816998256</v>
      </c>
      <c r="AG136" s="3">
        <f>+AG135</f>
        <v>5.35122579382568</v>
      </c>
      <c r="AH136" s="2"/>
      <c r="AJ136" s="3">
        <f>+AJ135</f>
        <v>5.409186963138194</v>
      </c>
      <c r="AM136" s="3">
        <f>+AM135</f>
        <v>5.465182687394282</v>
      </c>
      <c r="AP136" s="3">
        <f>+AP135</f>
        <v>5.523709385302125</v>
      </c>
      <c r="AS136" s="3">
        <f>+AS135</f>
        <v>5.582692783950875</v>
      </c>
      <c r="AT136" s="2"/>
      <c r="AV136" s="3">
        <f>+AV135</f>
        <v>5.6403487991697405</v>
      </c>
      <c r="AY136" s="3">
        <f>+AY135</f>
        <v>5.70064407301898</v>
      </c>
      <c r="AZ136" s="3">
        <f>AVERAGE(L136:AY136)</f>
        <v>5.341495913672631</v>
      </c>
    </row>
    <row r="137" spans="1:52" ht="12.75">
      <c r="A137" s="12"/>
      <c r="C137" s="3">
        <f>+(C136)/D135</f>
        <v>-0.1314744273055719</v>
      </c>
      <c r="F137" s="3">
        <f>+(F136)/G135</f>
        <v>-0.1646087994113562</v>
      </c>
      <c r="L137" s="3">
        <f>AVERAGE(L123:L136)</f>
        <v>3.207243828366327</v>
      </c>
      <c r="M137" s="2"/>
      <c r="O137" s="3">
        <f>AVERAGE(O123:O136)</f>
        <v>3.7151094136948064</v>
      </c>
      <c r="R137" s="3">
        <f>AVERAGE(R123:R136)</f>
        <v>3.734350566135863</v>
      </c>
      <c r="U137" s="3">
        <f>AVERAGE(U123:U136)</f>
        <v>3.751176521763297</v>
      </c>
      <c r="X137" s="3">
        <f>AVERAGE(X123:X136)</f>
        <v>3.7888452595614193</v>
      </c>
      <c r="AA137" s="3">
        <f>AVERAGE(AA123:AA136)</f>
        <v>3.8275252380602307</v>
      </c>
      <c r="AD137" s="3">
        <f>AVERAGE(AD123:AD136)</f>
        <v>3.863989343697824</v>
      </c>
      <c r="AG137" s="3">
        <f>AVERAGE(AG123:AG136)</f>
        <v>3.902165379359944</v>
      </c>
      <c r="AH137" s="2"/>
      <c r="AJ137" s="3">
        <f>AVERAGE(AJ123:AJ136)</f>
        <v>3.9416322921899476</v>
      </c>
      <c r="AM137" s="3">
        <f>AVERAGE(AM123:AM136)</f>
        <v>3.9802036707038493</v>
      </c>
      <c r="AP137" s="3">
        <f>AVERAGE(AP123:AP136)</f>
        <v>4.0193908449084725</v>
      </c>
      <c r="AS137" s="3">
        <f>AVERAGE(AS123:AS136)</f>
        <v>4.059390745634664</v>
      </c>
      <c r="AT137" s="2"/>
      <c r="AV137" s="3">
        <f>AVERAGE(AV123:AV136)</f>
        <v>4.098405798784931</v>
      </c>
      <c r="AY137" s="3">
        <f>AVERAGE(AY123:AY136)</f>
        <v>4.1388947808741</v>
      </c>
      <c r="AZ137" s="3">
        <f>AVERAGE(I137:AY137)</f>
        <v>3.8591659774096914</v>
      </c>
    </row>
    <row r="138" spans="1:52" ht="13.5" thickBot="1">
      <c r="A138" s="20"/>
      <c r="C138" s="3">
        <f>+C136/(14)</f>
        <v>-0.043347490021629555</v>
      </c>
      <c r="D138" s="3"/>
      <c r="F138" s="3">
        <f>+F136/(14)</f>
        <v>-0.0542727769504227</v>
      </c>
      <c r="G138" s="3"/>
      <c r="AT138" s="2"/>
      <c r="AZ138" s="3"/>
    </row>
    <row r="139" spans="1:54" ht="12.75">
      <c r="A139" s="21">
        <f>+A135+100</f>
        <v>2100</v>
      </c>
      <c r="B139" s="22">
        <f>1/C139</f>
        <v>0.07303676780446693</v>
      </c>
      <c r="C139" s="23">
        <f>+(($A139+273)*D139)/(1000*B$105)</f>
        <v>13.691734041095396</v>
      </c>
      <c r="D139" s="23">
        <f>+D135</f>
        <v>4.615839541877926</v>
      </c>
      <c r="E139" s="22">
        <f>1/F139</f>
        <v>0.0821651664559629</v>
      </c>
      <c r="F139" s="23">
        <f>+(($A139+273)*G139)/(1000*E$105)</f>
        <v>12.17060760822481</v>
      </c>
      <c r="G139" s="23">
        <f>+G135</f>
        <v>4.615906804636464</v>
      </c>
      <c r="H139" s="24"/>
      <c r="I139" s="24"/>
      <c r="J139" s="25">
        <f>1/K139</f>
        <v>141.66738305941846</v>
      </c>
      <c r="K139" s="22">
        <f>+(($A139+273)*L139)/(1000*J$105)</f>
        <v>0.007058787833898066</v>
      </c>
      <c r="L139" s="23">
        <f>+L135</f>
        <v>5.056864440634939</v>
      </c>
      <c r="M139" s="25">
        <f>1/N139</f>
        <v>149.2344711335862</v>
      </c>
      <c r="N139" s="22">
        <f>+(($A139+273)*O139)/(1000*M$105)</f>
        <v>0.006700864702397457</v>
      </c>
      <c r="O139" s="23">
        <f>+O135</f>
        <v>5.082830368443077</v>
      </c>
      <c r="P139" s="25">
        <f>1/Q139</f>
        <v>156.70577328276443</v>
      </c>
      <c r="Q139" s="22">
        <f>+(($A139+273)*R139)/(1000*P$105)</f>
        <v>0.006381385822943301</v>
      </c>
      <c r="R139" s="23">
        <f>+R135</f>
        <v>5.109411320519288</v>
      </c>
      <c r="S139" s="25">
        <f>1/T139</f>
        <v>164.17707543194268</v>
      </c>
      <c r="T139" s="22">
        <f>+(($A139+273)*U139)/(1000*S$105)</f>
        <v>0.006090984367756849</v>
      </c>
      <c r="U139" s="23">
        <f>+U135</f>
        <v>5.133573002744921</v>
      </c>
      <c r="V139" s="25">
        <f>1/W139</f>
        <v>178.73653603034137</v>
      </c>
      <c r="W139" s="22">
        <f>+(($A139+273)*X139)/(1000*V$105)</f>
        <v>0.005594827013041393</v>
      </c>
      <c r="X139" s="23">
        <f>+X135</f>
        <v>5.186944554863492</v>
      </c>
      <c r="Y139" s="25">
        <f>1/Z139</f>
        <v>192.91285292878212</v>
      </c>
      <c r="Z139" s="22">
        <f>+(($A139+273)*AA139)/(1000*Y$105)</f>
        <v>0.0051836877886470905</v>
      </c>
      <c r="AA139" s="23">
        <f>+AA135</f>
        <v>5.242667801412987</v>
      </c>
      <c r="AB139" s="25">
        <f>1/AC139</f>
        <v>206.89759797724398</v>
      </c>
      <c r="AC139" s="22">
        <f>+(($A139+273)*AD139)/(1000*AB$105)</f>
        <v>0.00483330889182187</v>
      </c>
      <c r="AD139" s="23">
        <f>+AD135</f>
        <v>5.295660816998256</v>
      </c>
      <c r="AE139" s="25">
        <f>1/AF139</f>
        <v>220.49919932574798</v>
      </c>
      <c r="AF139" s="22">
        <f>+(($A139+273)*AG139)/(1000*AE$105)</f>
        <v>0.004535163860267264</v>
      </c>
      <c r="AG139" s="23">
        <f>+AG135</f>
        <v>5.35122579382568</v>
      </c>
      <c r="AH139" s="25">
        <f>1/AI139</f>
        <v>233.71765697429413</v>
      </c>
      <c r="AI139" s="22">
        <f>+(($A139+273)*AJ139)/(1000*AH$105)</f>
        <v>0.004278666887842311</v>
      </c>
      <c r="AJ139" s="23">
        <f>+AJ135</f>
        <v>5.409186963138194</v>
      </c>
      <c r="AK139" s="25">
        <f>1/AL139</f>
        <v>246.74454277286137</v>
      </c>
      <c r="AL139" s="22">
        <f>+(($A139+273)*AM139)/(1000*AK$105)</f>
        <v>0.004052774536620823</v>
      </c>
      <c r="AM139" s="23">
        <f>+AM135</f>
        <v>5.465182687394282</v>
      </c>
      <c r="AN139" s="25">
        <f>1/AO139</f>
        <v>259.3882848714707</v>
      </c>
      <c r="AO139" s="22">
        <f>+(($A139+273)*AP139)/(1000*AN$105)</f>
        <v>0.0038552242268593945</v>
      </c>
      <c r="AP139" s="23">
        <f>+AP135</f>
        <v>5.523709385302125</v>
      </c>
      <c r="AQ139" s="25">
        <f>1/AR139</f>
        <v>271.74466919511167</v>
      </c>
      <c r="AR139" s="22">
        <f>+(($A139+273)*AS139)/(1000*AQ$105)</f>
        <v>0.0036799249934209516</v>
      </c>
      <c r="AS139" s="23">
        <f>+AS135</f>
        <v>5.582692783950875</v>
      </c>
      <c r="AT139" s="25">
        <f>1/AU139</f>
        <v>283.9094816687737</v>
      </c>
      <c r="AU139" s="22">
        <f>+(($A139+273)*AV139)/(1000*AT$105)</f>
        <v>0.0035222493948499456</v>
      </c>
      <c r="AV139" s="23">
        <f>+AV135</f>
        <v>5.6403487991697405</v>
      </c>
      <c r="AW139" s="25">
        <f>1/AX139</f>
        <v>295.69115044247786</v>
      </c>
      <c r="AX139" s="22">
        <f>+(($A139+273)*AY139)/(1000*AW$105)</f>
        <v>0.00338190709631851</v>
      </c>
      <c r="AY139" s="26">
        <f>+AY135</f>
        <v>5.70064407301898</v>
      </c>
      <c r="AZ139" s="2"/>
      <c r="BA139" s="19"/>
      <c r="BB139" s="3"/>
    </row>
    <row r="140" spans="1:54" ht="12.75">
      <c r="A140" s="27">
        <f>+A139+100</f>
        <v>2200</v>
      </c>
      <c r="B140" s="28">
        <f>1/C140</f>
        <v>0.07008340072786089</v>
      </c>
      <c r="C140" s="20">
        <f>+(($A140+273)*D140)/(1000*B$105)</f>
        <v>14.26871398383014</v>
      </c>
      <c r="D140" s="20">
        <f>+D139</f>
        <v>4.615839541877926</v>
      </c>
      <c r="E140" s="28">
        <f>1/F140</f>
        <v>0.07884267691063483</v>
      </c>
      <c r="F140" s="20">
        <f>+(($A140+273)*G140)/(1000*E$105)</f>
        <v>12.683486142073306</v>
      </c>
      <c r="G140" s="20">
        <f>+G139</f>
        <v>4.615906804636464</v>
      </c>
      <c r="H140" s="29"/>
      <c r="I140" s="29"/>
      <c r="J140" s="30">
        <f>1/K140</f>
        <v>135.93881924787712</v>
      </c>
      <c r="K140" s="28">
        <f>+(($A140+273)*L140)/(1000*J$105)</f>
        <v>0.007356250448053061</v>
      </c>
      <c r="L140" s="20">
        <f>+L139</f>
        <v>5.056864440634939</v>
      </c>
      <c r="M140" s="30">
        <f>1/N140</f>
        <v>143.19991912656695</v>
      </c>
      <c r="N140" s="28">
        <f>+(($A140+273)*O140)/(1000*M$105)</f>
        <v>0.006983244167310961</v>
      </c>
      <c r="O140" s="20">
        <f>+O139</f>
        <v>5.082830368443077</v>
      </c>
      <c r="P140" s="30">
        <f>1/Q140</f>
        <v>150.36910634856451</v>
      </c>
      <c r="Q140" s="28">
        <f>+(($A140+273)*R140)/(1000*P$105)</f>
        <v>0.006650302208233789</v>
      </c>
      <c r="R140" s="20">
        <f>+R139</f>
        <v>5.109411320519288</v>
      </c>
      <c r="S140" s="30">
        <f>1/T140</f>
        <v>157.53829357056208</v>
      </c>
      <c r="T140" s="28">
        <f>+(($A140+273)*U140)/(1000*S$105)</f>
        <v>0.006347663017894095</v>
      </c>
      <c r="U140" s="20">
        <f>+U139</f>
        <v>5.133573002744921</v>
      </c>
      <c r="V140" s="30">
        <f>1/W140</f>
        <v>171.5090173877881</v>
      </c>
      <c r="W140" s="28">
        <f>+(($A140+273)*X140)/(1000*V$105)</f>
        <v>0.005830597220080643</v>
      </c>
      <c r="X140" s="20">
        <f>+X139</f>
        <v>5.186944554863492</v>
      </c>
      <c r="Y140" s="30">
        <f>1/Z140</f>
        <v>185.11209057824507</v>
      </c>
      <c r="Z140" s="28">
        <f>+(($A140+273)*AA140)/(1000*Y$105)</f>
        <v>0.005402132280372631</v>
      </c>
      <c r="AA140" s="20">
        <f>+AA139</f>
        <v>5.242667801412987</v>
      </c>
      <c r="AB140" s="30">
        <f>1/AC140</f>
        <v>198.5313384553174</v>
      </c>
      <c r="AC140" s="28">
        <f>+(($A140+273)*AD140)/(1000*AB$105)</f>
        <v>0.005036988154014111</v>
      </c>
      <c r="AD140" s="20">
        <f>+AD139</f>
        <v>5.295660816998256</v>
      </c>
      <c r="AE140" s="30">
        <f>1/AF140</f>
        <v>211.58293570562066</v>
      </c>
      <c r="AF140" s="28">
        <f>+(($A140+273)*AG140)/(1000*AE$105)</f>
        <v>0.00472627906718961</v>
      </c>
      <c r="AG140" s="20">
        <f>+AG139</f>
        <v>5.35122579382568</v>
      </c>
      <c r="AH140" s="30">
        <f>1/AI140</f>
        <v>224.26688232915484</v>
      </c>
      <c r="AI140" s="28">
        <f>+(($A140+273)*AJ140)/(1000*AH$105)</f>
        <v>0.0044589731199469185</v>
      </c>
      <c r="AJ140" s="20">
        <f>+AJ139</f>
        <v>5.409186963138194</v>
      </c>
      <c r="AK140" s="30">
        <f>1/AL140</f>
        <v>236.76700363930448</v>
      </c>
      <c r="AL140" s="28">
        <f>+(($A140+273)*AM140)/(1000*AK$105)</f>
        <v>0.004223561495601894</v>
      </c>
      <c r="AM140" s="20">
        <f>+AM139</f>
        <v>5.465182687394282</v>
      </c>
      <c r="AN140" s="30">
        <f>1/AO140</f>
        <v>248.89947432268502</v>
      </c>
      <c r="AO140" s="28">
        <f>+(($A140+273)*AP140)/(1000*AN$105)</f>
        <v>0.004017686267603574</v>
      </c>
      <c r="AP140" s="20">
        <f>+AP139</f>
        <v>5.523709385302125</v>
      </c>
      <c r="AQ140" s="30">
        <f>1/AR140</f>
        <v>260.7562070359887</v>
      </c>
      <c r="AR140" s="28">
        <f>+(($A140+273)*AS140)/(1000*AQ$105)</f>
        <v>0.003834999792975142</v>
      </c>
      <c r="AS140" s="20">
        <f>+AS139</f>
        <v>5.582692783950875</v>
      </c>
      <c r="AT140" s="30">
        <f>1/AU140</f>
        <v>272.4291144359078</v>
      </c>
      <c r="AU140" s="28">
        <f>+(($A140+273)*AV140)/(1000*AT$105)</f>
        <v>0.0036706796264070443</v>
      </c>
      <c r="AV140" s="20">
        <f>+AV139</f>
        <v>5.6403487991697405</v>
      </c>
      <c r="AW140" s="30">
        <f>1/AX140</f>
        <v>283.7343712090578</v>
      </c>
      <c r="AX140" s="28">
        <f>+(($A140+273)*AY140)/(1000*AW$105)</f>
        <v>0.0035244231981439843</v>
      </c>
      <c r="AY140" s="31">
        <f>+AY139</f>
        <v>5.70064407301898</v>
      </c>
      <c r="AZ140" s="2"/>
      <c r="BA140" s="19"/>
      <c r="BB140" s="3"/>
    </row>
    <row r="141" spans="1:54" ht="12.75">
      <c r="A141" s="27">
        <f aca="true" t="shared" si="22" ref="A141:A158">+A140+100</f>
        <v>2300</v>
      </c>
      <c r="B141" s="28">
        <f aca="true" t="shared" si="23" ref="B141:B158">1/C141</f>
        <v>0.0673595996890789</v>
      </c>
      <c r="C141" s="20">
        <f aca="true" t="shared" si="24" ref="C141:C158">+(($A141+273)*D141)/(1000*B$105)</f>
        <v>14.845693926564879</v>
      </c>
      <c r="D141" s="20">
        <f aca="true" t="shared" si="25" ref="D141:D158">+D140</f>
        <v>4.615839541877926</v>
      </c>
      <c r="E141" s="28">
        <f aca="true" t="shared" si="26" ref="E141:E158">1/F141</f>
        <v>0.07577844539448114</v>
      </c>
      <c r="F141" s="20">
        <f aca="true" t="shared" si="27" ref="F141:F158">+(($A141+273)*G141)/(1000*E$105)</f>
        <v>13.196364675921801</v>
      </c>
      <c r="G141" s="20">
        <f aca="true" t="shared" si="28" ref="G141:G158">+G140</f>
        <v>4.615906804636464</v>
      </c>
      <c r="H141" s="29"/>
      <c r="I141" s="29"/>
      <c r="J141" s="30">
        <f aca="true" t="shared" si="29" ref="J141:J158">1/K141</f>
        <v>130.65553828216093</v>
      </c>
      <c r="K141" s="28">
        <f aca="true" t="shared" si="30" ref="K141:K158">+(($A141+273)*L141)/(1000*J$105)</f>
        <v>0.007653713062208058</v>
      </c>
      <c r="L141" s="20">
        <f aca="true" t="shared" si="31" ref="L141:L158">+L140</f>
        <v>5.056864440634939</v>
      </c>
      <c r="M141" s="30">
        <f aca="true" t="shared" si="32" ref="M141:M158">1/N141</f>
        <v>137.63443451224256</v>
      </c>
      <c r="N141" s="28">
        <f aca="true" t="shared" si="33" ref="N141:N158">+(($A141+273)*O141)/(1000*M$105)</f>
        <v>0.007265623632224465</v>
      </c>
      <c r="O141" s="20">
        <f aca="true" t="shared" si="34" ref="O141:O158">+O140</f>
        <v>5.082830368443077</v>
      </c>
      <c r="P141" s="30">
        <f aca="true" t="shared" si="35" ref="P141:P158">1/Q141</f>
        <v>144.5249902837155</v>
      </c>
      <c r="Q141" s="28">
        <f aca="true" t="shared" si="36" ref="Q141:Q158">+(($A141+273)*R141)/(1000*P$105)</f>
        <v>0.006919218593524278</v>
      </c>
      <c r="R141" s="20">
        <f aca="true" t="shared" si="37" ref="R141:R158">+R140</f>
        <v>5.109411320519288</v>
      </c>
      <c r="S141" s="30">
        <f aca="true" t="shared" si="38" ref="S141:S158">1/T141</f>
        <v>151.41554605518854</v>
      </c>
      <c r="T141" s="28">
        <f aca="true" t="shared" si="39" ref="T141:T158">+(($A141+273)*U141)/(1000*S$105)</f>
        <v>0.00660434166803134</v>
      </c>
      <c r="U141" s="20">
        <f aca="true" t="shared" si="40" ref="U141:U158">+U140</f>
        <v>5.133573002744921</v>
      </c>
      <c r="V141" s="30">
        <f aca="true" t="shared" si="41" ref="V141:V158">1/W141</f>
        <v>164.84329576369996</v>
      </c>
      <c r="W141" s="28">
        <f aca="true" t="shared" si="42" ref="W141:W158">+(($A141+273)*X141)/(1000*V$105)</f>
        <v>0.006066367427119893</v>
      </c>
      <c r="X141" s="20">
        <f aca="true" t="shared" si="43" ref="X141:X158">+X140</f>
        <v>5.186944554863492</v>
      </c>
      <c r="Y141" s="30">
        <f aca="true" t="shared" si="44" ref="Y141:Y158">1/Z141</f>
        <v>177.91768363777692</v>
      </c>
      <c r="Z141" s="28">
        <f aca="true" t="shared" si="45" ref="Z141:Z158">+(($A141+273)*AA141)/(1000*Y$105)</f>
        <v>0.005620576772098172</v>
      </c>
      <c r="AA141" s="20">
        <f aca="true" t="shared" si="46" ref="AA141:AA158">+AA140</f>
        <v>5.242667801412987</v>
      </c>
      <c r="AB141" s="30">
        <f aca="true" t="shared" si="47" ref="AB141:AB158">1/AC141</f>
        <v>190.8153905946366</v>
      </c>
      <c r="AC141" s="28">
        <f aca="true" t="shared" si="48" ref="AC141:AC158">+(($A141+273)*AD141)/(1000*AB$105)</f>
        <v>0.005240667416206352</v>
      </c>
      <c r="AD141" s="20">
        <f aca="true" t="shared" si="49" ref="AD141:AD158">+AD140</f>
        <v>5.295660816998256</v>
      </c>
      <c r="AE141" s="30">
        <f aca="true" t="shared" si="50" ref="AE141:AE158">1/AF141</f>
        <v>203.35973571706174</v>
      </c>
      <c r="AF141" s="28">
        <f aca="true" t="shared" si="51" ref="AF141:AF158">+(($A141+273)*AG141)/(1000*AE$105)</f>
        <v>0.004917394274111956</v>
      </c>
      <c r="AG141" s="20">
        <f aca="true" t="shared" si="52" ref="AG141:AG158">+AG140</f>
        <v>5.35122579382568</v>
      </c>
      <c r="AH141" s="30">
        <f aca="true" t="shared" si="53" ref="AH141:AH158">1/AI141</f>
        <v>215.55071900505249</v>
      </c>
      <c r="AI141" s="28">
        <f aca="true" t="shared" si="54" ref="AI141:AI158">+(($A141+273)*AJ141)/(1000*AH$105)</f>
        <v>0.004639279352051524</v>
      </c>
      <c r="AJ141" s="20">
        <f aca="true" t="shared" si="55" ref="AJ141:AJ158">+AJ140</f>
        <v>5.409186963138194</v>
      </c>
      <c r="AK141" s="30">
        <f aca="true" t="shared" si="56" ref="AK141:AK158">1/AL141</f>
        <v>227.5650213758259</v>
      </c>
      <c r="AL141" s="28">
        <f aca="true" t="shared" si="57" ref="AL141:AL158">+(($A141+273)*AM141)/(1000*AK$105)</f>
        <v>0.004394348454582965</v>
      </c>
      <c r="AM141" s="20">
        <f aca="true" t="shared" si="58" ref="AM141:AM158">+AM140</f>
        <v>5.465182687394282</v>
      </c>
      <c r="AN141" s="30">
        <f aca="true" t="shared" si="59" ref="AN141:AN158">1/AO141</f>
        <v>239.22596191216476</v>
      </c>
      <c r="AO141" s="28">
        <f aca="true" t="shared" si="60" ref="AO141:AO158">+(($A141+273)*AP141)/(1000*AN$105)</f>
        <v>0.004180148308347755</v>
      </c>
      <c r="AP141" s="20">
        <f aca="true" t="shared" si="61" ref="AP141:AP158">+AP140</f>
        <v>5.523709385302125</v>
      </c>
      <c r="AQ141" s="30">
        <f aca="true" t="shared" si="62" ref="AQ141:AQ158">1/AR141</f>
        <v>250.6218810726778</v>
      </c>
      <c r="AR141" s="28">
        <f aca="true" t="shared" si="63" ref="AR141:AR158">+(($A141+273)*AS141)/(1000*AQ$105)</f>
        <v>0.0039900745925293335</v>
      </c>
      <c r="AS141" s="20">
        <f aca="true" t="shared" si="64" ref="AS141:AS158">+AS140</f>
        <v>5.582692783950875</v>
      </c>
      <c r="AT141" s="30">
        <f aca="true" t="shared" si="65" ref="AT141:AT158">1/AU141</f>
        <v>261.8411193159736</v>
      </c>
      <c r="AU141" s="28">
        <f aca="true" t="shared" si="66" ref="AU141:AU158">+(($A141+273)*AV141)/(1000*AT$105)</f>
        <v>0.0038191098579641427</v>
      </c>
      <c r="AV141" s="20">
        <f aca="true" t="shared" si="67" ref="AV141:AV158">+AV140</f>
        <v>5.6403487991697405</v>
      </c>
      <c r="AW141" s="30">
        <f aca="true" t="shared" si="68" ref="AW141:AW158">1/AX141</f>
        <v>272.7069957248348</v>
      </c>
      <c r="AX141" s="28">
        <f aca="true" t="shared" si="69" ref="AX141:AX158">+(($A141+273)*AY141)/(1000*AW$105)</f>
        <v>0.0036669392999694587</v>
      </c>
      <c r="AY141" s="31">
        <f aca="true" t="shared" si="70" ref="AY141:AY158">+AY140</f>
        <v>5.70064407301898</v>
      </c>
      <c r="AZ141" s="2"/>
      <c r="BA141" s="19"/>
      <c r="BB141" s="3"/>
    </row>
    <row r="142" spans="1:54" ht="12.75">
      <c r="A142" s="27">
        <f t="shared" si="22"/>
        <v>2400</v>
      </c>
      <c r="B142" s="28">
        <f t="shared" si="23"/>
        <v>0.0648395997007108</v>
      </c>
      <c r="C142" s="20">
        <f t="shared" si="24"/>
        <v>15.42267386929962</v>
      </c>
      <c r="D142" s="20">
        <f t="shared" si="25"/>
        <v>4.615839541877926</v>
      </c>
      <c r="E142" s="28">
        <f t="shared" si="26"/>
        <v>0.07294348671904226</v>
      </c>
      <c r="F142" s="20">
        <f t="shared" si="27"/>
        <v>13.709243209770298</v>
      </c>
      <c r="G142" s="20">
        <f t="shared" si="28"/>
        <v>4.615906804636464</v>
      </c>
      <c r="H142" s="29"/>
      <c r="I142" s="29"/>
      <c r="J142" s="30">
        <f t="shared" si="29"/>
        <v>125.7675645342312</v>
      </c>
      <c r="K142" s="28">
        <f t="shared" si="30"/>
        <v>0.007951175676363055</v>
      </c>
      <c r="L142" s="20">
        <f t="shared" si="31"/>
        <v>5.056864440634939</v>
      </c>
      <c r="M142" s="30">
        <f t="shared" si="32"/>
        <v>132.48537224092783</v>
      </c>
      <c r="N142" s="28">
        <f t="shared" si="33"/>
        <v>0.00754800309713797</v>
      </c>
      <c r="O142" s="20">
        <f t="shared" si="34"/>
        <v>5.082830368443077</v>
      </c>
      <c r="P142" s="30">
        <f t="shared" si="35"/>
        <v>139.1181444070333</v>
      </c>
      <c r="Q142" s="28">
        <f t="shared" si="36"/>
        <v>0.007188134978814767</v>
      </c>
      <c r="R142" s="20">
        <f t="shared" si="37"/>
        <v>5.109411320519288</v>
      </c>
      <c r="S142" s="30">
        <f t="shared" si="38"/>
        <v>145.75091657313882</v>
      </c>
      <c r="T142" s="28">
        <f t="shared" si="39"/>
        <v>0.006861020318168587</v>
      </c>
      <c r="U142" s="20">
        <f t="shared" si="40"/>
        <v>5.133573002744921</v>
      </c>
      <c r="V142" s="30">
        <f t="shared" si="41"/>
        <v>158.67631874298542</v>
      </c>
      <c r="W142" s="28">
        <f t="shared" si="42"/>
        <v>0.006302137634159142</v>
      </c>
      <c r="X142" s="20">
        <f t="shared" si="43"/>
        <v>5.186944554863492</v>
      </c>
      <c r="Y142" s="30">
        <f t="shared" si="44"/>
        <v>171.26157875046763</v>
      </c>
      <c r="Z142" s="28">
        <f t="shared" si="45"/>
        <v>0.0058390212638237135</v>
      </c>
      <c r="AA142" s="20">
        <f t="shared" si="46"/>
        <v>5.242667801412987</v>
      </c>
      <c r="AB142" s="30">
        <f t="shared" si="47"/>
        <v>183.6767676767677</v>
      </c>
      <c r="AC142" s="28">
        <f t="shared" si="48"/>
        <v>0.005444346678398592</v>
      </c>
      <c r="AD142" s="20">
        <f t="shared" si="49"/>
        <v>5.295660816998256</v>
      </c>
      <c r="AE142" s="30">
        <f t="shared" si="50"/>
        <v>195.75181444070327</v>
      </c>
      <c r="AF142" s="28">
        <f t="shared" si="51"/>
        <v>0.005108509481034302</v>
      </c>
      <c r="AG142" s="20">
        <f t="shared" si="52"/>
        <v>5.35122579382568</v>
      </c>
      <c r="AH142" s="30">
        <f t="shared" si="53"/>
        <v>207.4867190422746</v>
      </c>
      <c r="AI142" s="28">
        <f t="shared" si="54"/>
        <v>0.004819585584156131</v>
      </c>
      <c r="AJ142" s="20">
        <f t="shared" si="55"/>
        <v>5.409186963138194</v>
      </c>
      <c r="AK142" s="30">
        <f t="shared" si="56"/>
        <v>219.0515525626637</v>
      </c>
      <c r="AL142" s="28">
        <f t="shared" si="57"/>
        <v>0.004565135413564037</v>
      </c>
      <c r="AM142" s="20">
        <f t="shared" si="58"/>
        <v>5.465182687394282</v>
      </c>
      <c r="AN142" s="30">
        <f t="shared" si="59"/>
        <v>230.27624392068833</v>
      </c>
      <c r="AO142" s="28">
        <f t="shared" si="60"/>
        <v>0.004342610349091935</v>
      </c>
      <c r="AP142" s="20">
        <f t="shared" si="61"/>
        <v>5.523709385302125</v>
      </c>
      <c r="AQ142" s="30">
        <f t="shared" si="62"/>
        <v>241.24582865693978</v>
      </c>
      <c r="AR142" s="28">
        <f t="shared" si="63"/>
        <v>0.004145149392083524</v>
      </c>
      <c r="AS142" s="20">
        <f t="shared" si="64"/>
        <v>5.582692783950875</v>
      </c>
      <c r="AT142" s="30">
        <f t="shared" si="65"/>
        <v>252.04534231200896</v>
      </c>
      <c r="AU142" s="28">
        <f t="shared" si="66"/>
        <v>0.003967540089521241</v>
      </c>
      <c r="AV142" s="20">
        <f t="shared" si="67"/>
        <v>5.6403487991697405</v>
      </c>
      <c r="AW142" s="30">
        <f t="shared" si="68"/>
        <v>262.50471380471384</v>
      </c>
      <c r="AX142" s="28">
        <f t="shared" si="69"/>
        <v>0.003809455401794933</v>
      </c>
      <c r="AY142" s="31">
        <f t="shared" si="70"/>
        <v>5.70064407301898</v>
      </c>
      <c r="AZ142" s="2"/>
      <c r="BA142" s="19"/>
      <c r="BB142" s="3"/>
    </row>
    <row r="143" spans="1:54" ht="12.75">
      <c r="A143" s="27">
        <f t="shared" si="22"/>
        <v>2500</v>
      </c>
      <c r="B143" s="28">
        <f t="shared" si="23"/>
        <v>0.06250135232600072</v>
      </c>
      <c r="C143" s="20">
        <f t="shared" si="24"/>
        <v>15.99965381203436</v>
      </c>
      <c r="D143" s="20">
        <f t="shared" si="25"/>
        <v>4.615839541877926</v>
      </c>
      <c r="E143" s="28">
        <f t="shared" si="26"/>
        <v>0.07031299675441759</v>
      </c>
      <c r="F143" s="20">
        <f t="shared" si="27"/>
        <v>14.222121743618795</v>
      </c>
      <c r="G143" s="20">
        <f t="shared" si="28"/>
        <v>4.615906804636464</v>
      </c>
      <c r="H143" s="29"/>
      <c r="I143" s="29"/>
      <c r="J143" s="30">
        <f t="shared" si="29"/>
        <v>121.23213126577717</v>
      </c>
      <c r="K143" s="28">
        <f t="shared" si="30"/>
        <v>0.00824863829051805</v>
      </c>
      <c r="L143" s="20">
        <f t="shared" si="31"/>
        <v>5.056864440634939</v>
      </c>
      <c r="M143" s="30">
        <f t="shared" si="32"/>
        <v>127.70768121168413</v>
      </c>
      <c r="N143" s="28">
        <f t="shared" si="33"/>
        <v>0.007830382562051473</v>
      </c>
      <c r="O143" s="20">
        <f t="shared" si="34"/>
        <v>5.082830368443077</v>
      </c>
      <c r="P143" s="30">
        <f t="shared" si="35"/>
        <v>134.101262170934</v>
      </c>
      <c r="Q143" s="28">
        <f t="shared" si="36"/>
        <v>0.0074570513641052565</v>
      </c>
      <c r="R143" s="20">
        <f t="shared" si="37"/>
        <v>5.109411320519288</v>
      </c>
      <c r="S143" s="30">
        <f t="shared" si="38"/>
        <v>140.49484313018394</v>
      </c>
      <c r="T143" s="28">
        <f t="shared" si="39"/>
        <v>0.007117698968305833</v>
      </c>
      <c r="U143" s="20">
        <f t="shared" si="40"/>
        <v>5.133573002744921</v>
      </c>
      <c r="V143" s="30">
        <f t="shared" si="41"/>
        <v>152.95412910205553</v>
      </c>
      <c r="W143" s="28">
        <f t="shared" si="42"/>
        <v>0.006537907841198392</v>
      </c>
      <c r="X143" s="20">
        <f t="shared" si="43"/>
        <v>5.186944554863492</v>
      </c>
      <c r="Y143" s="30">
        <f t="shared" si="44"/>
        <v>165.08553912729894</v>
      </c>
      <c r="Z143" s="28">
        <f t="shared" si="45"/>
        <v>0.006057465755549255</v>
      </c>
      <c r="AA143" s="20">
        <f t="shared" si="46"/>
        <v>5.242667801412987</v>
      </c>
      <c r="AB143" s="30">
        <f t="shared" si="47"/>
        <v>177.05301117922826</v>
      </c>
      <c r="AC143" s="28">
        <f t="shared" si="48"/>
        <v>0.005648025940590833</v>
      </c>
      <c r="AD143" s="20">
        <f t="shared" si="49"/>
        <v>5.295660816998256</v>
      </c>
      <c r="AE143" s="30">
        <f t="shared" si="50"/>
        <v>188.69260728452937</v>
      </c>
      <c r="AF143" s="28">
        <f t="shared" si="51"/>
        <v>0.005299624687956647</v>
      </c>
      <c r="AG143" s="20">
        <f t="shared" si="52"/>
        <v>5.35122579382568</v>
      </c>
      <c r="AH143" s="30">
        <f t="shared" si="53"/>
        <v>200.0043274432023</v>
      </c>
      <c r="AI143" s="28">
        <f t="shared" si="54"/>
        <v>0.004999891816260737</v>
      </c>
      <c r="AJ143" s="20">
        <f t="shared" si="55"/>
        <v>5.409186963138194</v>
      </c>
      <c r="AK143" s="30">
        <f t="shared" si="56"/>
        <v>211.15210962856116</v>
      </c>
      <c r="AL143" s="28">
        <f t="shared" si="57"/>
        <v>0.004735922372545108</v>
      </c>
      <c r="AM143" s="20">
        <f t="shared" si="58"/>
        <v>5.465182687394282</v>
      </c>
      <c r="AN143" s="30">
        <f t="shared" si="59"/>
        <v>221.9720158672917</v>
      </c>
      <c r="AO143" s="28">
        <f t="shared" si="60"/>
        <v>0.004505072389836115</v>
      </c>
      <c r="AP143" s="20">
        <f t="shared" si="61"/>
        <v>5.523709385302125</v>
      </c>
      <c r="AQ143" s="30">
        <f t="shared" si="62"/>
        <v>232.54601514605122</v>
      </c>
      <c r="AR143" s="28">
        <f t="shared" si="63"/>
        <v>0.004300224191637715</v>
      </c>
      <c r="AS143" s="20">
        <f t="shared" si="64"/>
        <v>5.582692783950875</v>
      </c>
      <c r="AT143" s="30">
        <f t="shared" si="65"/>
        <v>242.95607645149659</v>
      </c>
      <c r="AU143" s="28">
        <f t="shared" si="66"/>
        <v>0.004115970321078339</v>
      </c>
      <c r="AV143" s="20">
        <f t="shared" si="67"/>
        <v>5.6403487991697405</v>
      </c>
      <c r="AW143" s="30">
        <f t="shared" si="68"/>
        <v>253.03826181031374</v>
      </c>
      <c r="AX143" s="28">
        <f t="shared" si="69"/>
        <v>0.003951971503620408</v>
      </c>
      <c r="AY143" s="31">
        <f t="shared" si="70"/>
        <v>5.70064407301898</v>
      </c>
      <c r="AZ143" s="2"/>
      <c r="BA143" s="19"/>
      <c r="BB143" s="3"/>
    </row>
    <row r="144" spans="1:54" ht="12.75">
      <c r="A144" s="27">
        <f t="shared" si="22"/>
        <v>2600</v>
      </c>
      <c r="B144" s="28">
        <f t="shared" si="23"/>
        <v>0.06032587887225896</v>
      </c>
      <c r="C144" s="20">
        <f t="shared" si="24"/>
        <v>16.5766337547691</v>
      </c>
      <c r="D144" s="20">
        <f t="shared" si="25"/>
        <v>4.615839541877926</v>
      </c>
      <c r="E144" s="28">
        <f t="shared" si="26"/>
        <v>0.06786562478245735</v>
      </c>
      <c r="F144" s="20">
        <f t="shared" si="27"/>
        <v>14.73500027746729</v>
      </c>
      <c r="G144" s="20">
        <f t="shared" si="28"/>
        <v>4.615906804636464</v>
      </c>
      <c r="H144" s="29"/>
      <c r="I144" s="29"/>
      <c r="J144" s="30">
        <f t="shared" si="29"/>
        <v>117.01242603550297</v>
      </c>
      <c r="K144" s="28">
        <f t="shared" si="30"/>
        <v>0.008546100904673047</v>
      </c>
      <c r="L144" s="20">
        <f t="shared" si="31"/>
        <v>5.056864440634939</v>
      </c>
      <c r="M144" s="30">
        <f t="shared" si="32"/>
        <v>123.2625826662026</v>
      </c>
      <c r="N144" s="28">
        <f t="shared" si="33"/>
        <v>0.008112762026964978</v>
      </c>
      <c r="O144" s="20">
        <f t="shared" si="34"/>
        <v>5.082830368443077</v>
      </c>
      <c r="P144" s="30">
        <f t="shared" si="35"/>
        <v>129.4336233901845</v>
      </c>
      <c r="Q144" s="28">
        <f t="shared" si="36"/>
        <v>0.0077259677493957445</v>
      </c>
      <c r="R144" s="20">
        <f t="shared" si="37"/>
        <v>5.109411320519288</v>
      </c>
      <c r="S144" s="30">
        <f t="shared" si="38"/>
        <v>135.60466411416638</v>
      </c>
      <c r="T144" s="28">
        <f t="shared" si="39"/>
        <v>0.007374377618443079</v>
      </c>
      <c r="U144" s="20">
        <f t="shared" si="40"/>
        <v>5.133573002744921</v>
      </c>
      <c r="V144" s="30">
        <f t="shared" si="41"/>
        <v>147.6302819352593</v>
      </c>
      <c r="W144" s="28">
        <f t="shared" si="42"/>
        <v>0.006773678048237642</v>
      </c>
      <c r="X144" s="20">
        <f t="shared" si="43"/>
        <v>5.186944554863492</v>
      </c>
      <c r="Y144" s="30">
        <f t="shared" si="44"/>
        <v>159.33943612948136</v>
      </c>
      <c r="Z144" s="28">
        <f t="shared" si="45"/>
        <v>0.006275910247274796</v>
      </c>
      <c r="AA144" s="20">
        <f t="shared" si="46"/>
        <v>5.242667801412987</v>
      </c>
      <c r="AB144" s="30">
        <f t="shared" si="47"/>
        <v>170.89035851026802</v>
      </c>
      <c r="AC144" s="28">
        <f t="shared" si="48"/>
        <v>0.005851705202783074</v>
      </c>
      <c r="AD144" s="20">
        <f t="shared" si="49"/>
        <v>5.295660816998256</v>
      </c>
      <c r="AE144" s="30">
        <f t="shared" si="50"/>
        <v>182.12481726418375</v>
      </c>
      <c r="AF144" s="28">
        <f t="shared" si="51"/>
        <v>0.005490739894878993</v>
      </c>
      <c r="AG144" s="20">
        <f t="shared" si="52"/>
        <v>5.35122579382568</v>
      </c>
      <c r="AH144" s="30">
        <f t="shared" si="53"/>
        <v>193.04281239122867</v>
      </c>
      <c r="AI144" s="28">
        <f t="shared" si="54"/>
        <v>0.005180198048365344</v>
      </c>
      <c r="AJ144" s="20">
        <f t="shared" si="55"/>
        <v>5.409186963138194</v>
      </c>
      <c r="AK144" s="30">
        <f t="shared" si="56"/>
        <v>203.80257570483815</v>
      </c>
      <c r="AL144" s="28">
        <f t="shared" si="57"/>
        <v>0.004906709331526179</v>
      </c>
      <c r="AM144" s="20">
        <f t="shared" si="58"/>
        <v>5.465182687394282</v>
      </c>
      <c r="AN144" s="30">
        <f t="shared" si="59"/>
        <v>214.24587539157673</v>
      </c>
      <c r="AO144" s="28">
        <f t="shared" si="60"/>
        <v>0.0046675344305802955</v>
      </c>
      <c r="AP144" s="20">
        <f t="shared" si="61"/>
        <v>5.523709385302125</v>
      </c>
      <c r="AQ144" s="30">
        <f t="shared" si="62"/>
        <v>224.4518273581622</v>
      </c>
      <c r="AR144" s="28">
        <f t="shared" si="63"/>
        <v>0.004455298991191906</v>
      </c>
      <c r="AS144" s="20">
        <f t="shared" si="64"/>
        <v>5.582692783950875</v>
      </c>
      <c r="AT144" s="30">
        <f t="shared" si="65"/>
        <v>234.49954751131222</v>
      </c>
      <c r="AU144" s="28">
        <f t="shared" si="66"/>
        <v>0.004264400552635438</v>
      </c>
      <c r="AV144" s="20">
        <f t="shared" si="67"/>
        <v>5.6403487991697405</v>
      </c>
      <c r="AW144" s="30">
        <f t="shared" si="68"/>
        <v>244.23080403759135</v>
      </c>
      <c r="AX144" s="28">
        <f t="shared" si="69"/>
        <v>0.004094487605445883</v>
      </c>
      <c r="AY144" s="31">
        <f t="shared" si="70"/>
        <v>5.70064407301898</v>
      </c>
      <c r="AZ144" s="2"/>
      <c r="BA144" s="19"/>
      <c r="BB144" s="3"/>
    </row>
    <row r="145" spans="1:54" ht="12.75">
      <c r="A145" s="27">
        <f t="shared" si="22"/>
        <v>2700</v>
      </c>
      <c r="B145" s="28">
        <f t="shared" si="23"/>
        <v>0.05829675412041708</v>
      </c>
      <c r="C145" s="20">
        <f t="shared" si="24"/>
        <v>17.153613697503843</v>
      </c>
      <c r="D145" s="20">
        <f t="shared" si="25"/>
        <v>4.615839541877926</v>
      </c>
      <c r="E145" s="28">
        <f t="shared" si="26"/>
        <v>0.06558289270097543</v>
      </c>
      <c r="F145" s="20">
        <f t="shared" si="27"/>
        <v>15.247878811315786</v>
      </c>
      <c r="G145" s="20">
        <f t="shared" si="28"/>
        <v>4.615906804636464</v>
      </c>
      <c r="H145" s="29"/>
      <c r="I145" s="29"/>
      <c r="J145" s="30">
        <f t="shared" si="29"/>
        <v>113.07658930373363</v>
      </c>
      <c r="K145" s="28">
        <f t="shared" si="30"/>
        <v>0.008843563518828043</v>
      </c>
      <c r="L145" s="20">
        <f t="shared" si="31"/>
        <v>5.056864440634939</v>
      </c>
      <c r="M145" s="30">
        <f t="shared" si="32"/>
        <v>119.11651530440635</v>
      </c>
      <c r="N145" s="28">
        <f t="shared" si="33"/>
        <v>0.008395141491878482</v>
      </c>
      <c r="O145" s="20">
        <f t="shared" si="34"/>
        <v>5.082830368443077</v>
      </c>
      <c r="P145" s="30">
        <f t="shared" si="35"/>
        <v>125.07998654557686</v>
      </c>
      <c r="Q145" s="28">
        <f t="shared" si="36"/>
        <v>0.007994884134686233</v>
      </c>
      <c r="R145" s="20">
        <f t="shared" si="37"/>
        <v>5.109411320519288</v>
      </c>
      <c r="S145" s="30">
        <f t="shared" si="38"/>
        <v>131.0434577867474</v>
      </c>
      <c r="T145" s="28">
        <f t="shared" si="39"/>
        <v>0.007631056268580325</v>
      </c>
      <c r="U145" s="20">
        <f t="shared" si="40"/>
        <v>5.133573002744921</v>
      </c>
      <c r="V145" s="30">
        <f t="shared" si="41"/>
        <v>142.6645812310797</v>
      </c>
      <c r="W145" s="28">
        <f t="shared" si="42"/>
        <v>0.007009448255276891</v>
      </c>
      <c r="X145" s="20">
        <f t="shared" si="43"/>
        <v>5.186944554863492</v>
      </c>
      <c r="Y145" s="30">
        <f t="shared" si="44"/>
        <v>153.9798856374033</v>
      </c>
      <c r="Z145" s="28">
        <f t="shared" si="45"/>
        <v>0.0064943547390003365</v>
      </c>
      <c r="AA145" s="20">
        <f t="shared" si="46"/>
        <v>5.242667801412987</v>
      </c>
      <c r="AB145" s="30">
        <f t="shared" si="47"/>
        <v>165.1422805247225</v>
      </c>
      <c r="AC145" s="28">
        <f t="shared" si="48"/>
        <v>0.006055384464975314</v>
      </c>
      <c r="AD145" s="20">
        <f t="shared" si="49"/>
        <v>5.295660816998256</v>
      </c>
      <c r="AE145" s="30">
        <f t="shared" si="50"/>
        <v>175.99885637403293</v>
      </c>
      <c r="AF145" s="28">
        <f t="shared" si="51"/>
        <v>0.005681855101801339</v>
      </c>
      <c r="AG145" s="20">
        <f t="shared" si="52"/>
        <v>5.35122579382568</v>
      </c>
      <c r="AH145" s="30">
        <f t="shared" si="53"/>
        <v>186.54961318533466</v>
      </c>
      <c r="AI145" s="28">
        <f t="shared" si="54"/>
        <v>0.0053605042804699505</v>
      </c>
      <c r="AJ145" s="20">
        <f t="shared" si="55"/>
        <v>5.409186963138194</v>
      </c>
      <c r="AK145" s="30">
        <f t="shared" si="56"/>
        <v>196.94746047763206</v>
      </c>
      <c r="AL145" s="28">
        <f t="shared" si="57"/>
        <v>0.00507749629050725</v>
      </c>
      <c r="AM145" s="20">
        <f t="shared" si="58"/>
        <v>5.465182687394282</v>
      </c>
      <c r="AN145" s="30">
        <f t="shared" si="59"/>
        <v>207.03948873192058</v>
      </c>
      <c r="AO145" s="28">
        <f t="shared" si="60"/>
        <v>0.004829996471324476</v>
      </c>
      <c r="AP145" s="20">
        <f t="shared" si="61"/>
        <v>5.523709385302125</v>
      </c>
      <c r="AQ145" s="30">
        <f t="shared" si="62"/>
        <v>216.90215270770267</v>
      </c>
      <c r="AR145" s="28">
        <f t="shared" si="63"/>
        <v>0.004610373790746097</v>
      </c>
      <c r="AS145" s="20">
        <f t="shared" si="64"/>
        <v>5.582692783950875</v>
      </c>
      <c r="AT145" s="30">
        <f t="shared" si="65"/>
        <v>226.61190716448036</v>
      </c>
      <c r="AU145" s="28">
        <f t="shared" si="66"/>
        <v>0.004412830784192536</v>
      </c>
      <c r="AV145" s="20">
        <f t="shared" si="67"/>
        <v>5.6403487991697405</v>
      </c>
      <c r="AW145" s="30">
        <f t="shared" si="68"/>
        <v>236.01584258324925</v>
      </c>
      <c r="AX145" s="28">
        <f t="shared" si="69"/>
        <v>0.0042370037072713565</v>
      </c>
      <c r="AY145" s="31">
        <f t="shared" si="70"/>
        <v>5.70064407301898</v>
      </c>
      <c r="AZ145" s="2"/>
      <c r="BA145" s="19"/>
      <c r="BB145" s="3"/>
    </row>
    <row r="146" spans="1:54" ht="12.75">
      <c r="A146" s="27">
        <f t="shared" si="22"/>
        <v>2800</v>
      </c>
      <c r="B146" s="28">
        <f t="shared" si="23"/>
        <v>0.0563996908558412</v>
      </c>
      <c r="C146" s="20">
        <f t="shared" si="24"/>
        <v>17.73059364023858</v>
      </c>
      <c r="D146" s="20">
        <f t="shared" si="25"/>
        <v>4.615839541877926</v>
      </c>
      <c r="E146" s="28">
        <f t="shared" si="26"/>
        <v>0.06344872762772533</v>
      </c>
      <c r="F146" s="20">
        <f t="shared" si="27"/>
        <v>15.760757345164283</v>
      </c>
      <c r="G146" s="20">
        <f t="shared" si="28"/>
        <v>4.615906804636464</v>
      </c>
      <c r="H146" s="29"/>
      <c r="I146" s="29"/>
      <c r="J146" s="30">
        <f t="shared" si="29"/>
        <v>109.39690855841198</v>
      </c>
      <c r="K146" s="28">
        <f t="shared" si="30"/>
        <v>0.009141026132983041</v>
      </c>
      <c r="L146" s="20">
        <f t="shared" si="31"/>
        <v>5.056864440634939</v>
      </c>
      <c r="M146" s="30">
        <f t="shared" si="32"/>
        <v>115.24028636511554</v>
      </c>
      <c r="N146" s="28">
        <f t="shared" si="33"/>
        <v>0.008677520956791987</v>
      </c>
      <c r="O146" s="20">
        <f t="shared" si="34"/>
        <v>5.082830368443077</v>
      </c>
      <c r="P146" s="30">
        <f t="shared" si="35"/>
        <v>121.0096973641393</v>
      </c>
      <c r="Q146" s="28">
        <f t="shared" si="36"/>
        <v>0.008263800519976721</v>
      </c>
      <c r="R146" s="20">
        <f t="shared" si="37"/>
        <v>5.109411320519288</v>
      </c>
      <c r="S146" s="30">
        <f t="shared" si="38"/>
        <v>126.77910836316305</v>
      </c>
      <c r="T146" s="28">
        <f t="shared" si="39"/>
        <v>0.007887734918717571</v>
      </c>
      <c r="U146" s="20">
        <f t="shared" si="40"/>
        <v>5.133573002744921</v>
      </c>
      <c r="V146" s="30">
        <f t="shared" si="41"/>
        <v>138.02206313049138</v>
      </c>
      <c r="W146" s="28">
        <f t="shared" si="42"/>
        <v>0.0072452184623161405</v>
      </c>
      <c r="X146" s="20">
        <f t="shared" si="43"/>
        <v>5.186944554863492</v>
      </c>
      <c r="Y146" s="30">
        <f t="shared" si="44"/>
        <v>148.96915066710056</v>
      </c>
      <c r="Z146" s="28">
        <f t="shared" si="45"/>
        <v>0.006712799230725878</v>
      </c>
      <c r="AA146" s="20">
        <f t="shared" si="46"/>
        <v>5.242667801412987</v>
      </c>
      <c r="AB146" s="30">
        <f t="shared" si="47"/>
        <v>159.76830458835016</v>
      </c>
      <c r="AC146" s="28">
        <f t="shared" si="48"/>
        <v>0.006259063727167554</v>
      </c>
      <c r="AD146" s="20">
        <f t="shared" si="49"/>
        <v>5.295660816998256</v>
      </c>
      <c r="AE146" s="30">
        <f t="shared" si="50"/>
        <v>170.27159127888052</v>
      </c>
      <c r="AF146" s="28">
        <f t="shared" si="51"/>
        <v>0.0058729703087236846</v>
      </c>
      <c r="AG146" s="20">
        <f t="shared" si="52"/>
        <v>5.35122579382568</v>
      </c>
      <c r="AH146" s="30">
        <f t="shared" si="53"/>
        <v>180.47901073869184</v>
      </c>
      <c r="AI146" s="28">
        <f t="shared" si="54"/>
        <v>0.005540810512574557</v>
      </c>
      <c r="AJ146" s="20">
        <f t="shared" si="55"/>
        <v>5.409186963138194</v>
      </c>
      <c r="AK146" s="30">
        <f t="shared" si="56"/>
        <v>190.53849658314348</v>
      </c>
      <c r="AL146" s="28">
        <f t="shared" si="57"/>
        <v>0.005248283249488323</v>
      </c>
      <c r="AM146" s="20">
        <f t="shared" si="58"/>
        <v>5.465182687394282</v>
      </c>
      <c r="AN146" s="30">
        <f t="shared" si="59"/>
        <v>200.302115196876</v>
      </c>
      <c r="AO146" s="28">
        <f t="shared" si="60"/>
        <v>0.004992458512068656</v>
      </c>
      <c r="AP146" s="20">
        <f t="shared" si="61"/>
        <v>5.523709385302125</v>
      </c>
      <c r="AQ146" s="30">
        <f t="shared" si="62"/>
        <v>209.84383338756916</v>
      </c>
      <c r="AR146" s="28">
        <f t="shared" si="63"/>
        <v>0.004765448590300288</v>
      </c>
      <c r="AS146" s="20">
        <f t="shared" si="64"/>
        <v>5.582692783950875</v>
      </c>
      <c r="AT146" s="30">
        <f t="shared" si="65"/>
        <v>219.23761796290268</v>
      </c>
      <c r="AU146" s="28">
        <f t="shared" si="66"/>
        <v>0.004561261015749636</v>
      </c>
      <c r="AV146" s="20">
        <f t="shared" si="67"/>
        <v>5.6403487991697405</v>
      </c>
      <c r="AW146" s="30">
        <f t="shared" si="68"/>
        <v>228.3355353075171</v>
      </c>
      <c r="AX146" s="28">
        <f t="shared" si="69"/>
        <v>0.004379519809096831</v>
      </c>
      <c r="AY146" s="31">
        <f t="shared" si="70"/>
        <v>5.70064407301898</v>
      </c>
      <c r="AZ146" s="2"/>
      <c r="BA146" s="19"/>
      <c r="BB146" s="3"/>
    </row>
    <row r="147" spans="1:54" ht="12.75">
      <c r="A147" s="27">
        <f t="shared" si="22"/>
        <v>2900</v>
      </c>
      <c r="B147" s="28">
        <f t="shared" si="23"/>
        <v>0.05462220296249606</v>
      </c>
      <c r="C147" s="20">
        <f t="shared" si="24"/>
        <v>18.307573582973323</v>
      </c>
      <c r="D147" s="20">
        <f t="shared" si="25"/>
        <v>4.615839541877926</v>
      </c>
      <c r="E147" s="28">
        <f t="shared" si="26"/>
        <v>0.06144908288685786</v>
      </c>
      <c r="F147" s="20">
        <f t="shared" si="27"/>
        <v>16.273635879012776</v>
      </c>
      <c r="G147" s="20">
        <f t="shared" si="28"/>
        <v>4.615906804636464</v>
      </c>
      <c r="H147" s="29"/>
      <c r="I147" s="29"/>
      <c r="J147" s="30">
        <f t="shared" si="29"/>
        <v>105.94916482823828</v>
      </c>
      <c r="K147" s="28">
        <f t="shared" si="30"/>
        <v>0.009438488747138036</v>
      </c>
      <c r="L147" s="20">
        <f t="shared" si="31"/>
        <v>5.056864440634939</v>
      </c>
      <c r="M147" s="30">
        <f t="shared" si="32"/>
        <v>111.60838323353295</v>
      </c>
      <c r="N147" s="28">
        <f t="shared" si="33"/>
        <v>0.008959900421705492</v>
      </c>
      <c r="O147" s="20">
        <f t="shared" si="34"/>
        <v>5.082830368443077</v>
      </c>
      <c r="P147" s="30">
        <f t="shared" si="35"/>
        <v>117.19596596281123</v>
      </c>
      <c r="Q147" s="28">
        <f t="shared" si="36"/>
        <v>0.008532716905267211</v>
      </c>
      <c r="R147" s="20">
        <f t="shared" si="37"/>
        <v>5.109411320519288</v>
      </c>
      <c r="S147" s="30">
        <f t="shared" si="38"/>
        <v>122.78354869208952</v>
      </c>
      <c r="T147" s="28">
        <f t="shared" si="39"/>
        <v>0.008144413568854817</v>
      </c>
      <c r="U147" s="20">
        <f t="shared" si="40"/>
        <v>5.133573002744921</v>
      </c>
      <c r="V147" s="30">
        <f t="shared" si="41"/>
        <v>133.6721714465805</v>
      </c>
      <c r="W147" s="28">
        <f t="shared" si="42"/>
        <v>0.007480988669355391</v>
      </c>
      <c r="X147" s="20">
        <f t="shared" si="43"/>
        <v>5.186944554863492</v>
      </c>
      <c r="Y147" s="30">
        <f t="shared" si="44"/>
        <v>144.274251497006</v>
      </c>
      <c r="Z147" s="28">
        <f t="shared" si="45"/>
        <v>0.006931243722451419</v>
      </c>
      <c r="AA147" s="20">
        <f t="shared" si="46"/>
        <v>5.242667801412987</v>
      </c>
      <c r="AB147" s="30">
        <f t="shared" si="47"/>
        <v>154.7330601953987</v>
      </c>
      <c r="AC147" s="28">
        <f t="shared" si="48"/>
        <v>0.006462742989359794</v>
      </c>
      <c r="AD147" s="20">
        <f t="shared" si="49"/>
        <v>5.295660816998256</v>
      </c>
      <c r="AE147" s="30">
        <f t="shared" si="50"/>
        <v>164.90532618972577</v>
      </c>
      <c r="AF147" s="28">
        <f t="shared" si="51"/>
        <v>0.00606408551564603</v>
      </c>
      <c r="AG147" s="20">
        <f t="shared" si="52"/>
        <v>5.35122579382568</v>
      </c>
      <c r="AH147" s="30">
        <f t="shared" si="53"/>
        <v>174.79104947998738</v>
      </c>
      <c r="AI147" s="28">
        <f t="shared" si="54"/>
        <v>0.005721116744679164</v>
      </c>
      <c r="AJ147" s="20">
        <f t="shared" si="55"/>
        <v>5.409186963138194</v>
      </c>
      <c r="AK147" s="30">
        <f t="shared" si="56"/>
        <v>184.53350141821622</v>
      </c>
      <c r="AL147" s="28">
        <f t="shared" si="57"/>
        <v>0.0054190702084693934</v>
      </c>
      <c r="AM147" s="20">
        <f t="shared" si="58"/>
        <v>5.465182687394282</v>
      </c>
      <c r="AN147" s="30">
        <f t="shared" si="59"/>
        <v>193.98941065237943</v>
      </c>
      <c r="AO147" s="28">
        <f t="shared" si="60"/>
        <v>0.005154920552812836</v>
      </c>
      <c r="AP147" s="20">
        <f t="shared" si="61"/>
        <v>5.523709385302125</v>
      </c>
      <c r="AQ147" s="30">
        <f t="shared" si="62"/>
        <v>203.23041285849357</v>
      </c>
      <c r="AR147" s="28">
        <f t="shared" si="63"/>
        <v>0.004920523389854479</v>
      </c>
      <c r="AS147" s="20">
        <f t="shared" si="64"/>
        <v>5.582692783950875</v>
      </c>
      <c r="AT147" s="30">
        <f t="shared" si="65"/>
        <v>212.32814371257484</v>
      </c>
      <c r="AU147" s="28">
        <f t="shared" si="66"/>
        <v>0.0047096912473067335</v>
      </c>
      <c r="AV147" s="20">
        <f t="shared" si="67"/>
        <v>5.6403487991697405</v>
      </c>
      <c r="AW147" s="30">
        <f t="shared" si="68"/>
        <v>221.13933186259064</v>
      </c>
      <c r="AX147" s="28">
        <f t="shared" si="69"/>
        <v>0.004522035910922305</v>
      </c>
      <c r="AY147" s="31">
        <f t="shared" si="70"/>
        <v>5.70064407301898</v>
      </c>
      <c r="AZ147" s="2"/>
      <c r="BA147" s="19"/>
      <c r="BB147" s="3"/>
    </row>
    <row r="148" spans="1:54" ht="13.5" thickBot="1">
      <c r="A148" s="32">
        <f t="shared" si="22"/>
        <v>3000</v>
      </c>
      <c r="B148" s="33">
        <f t="shared" si="23"/>
        <v>0.05295333027803238</v>
      </c>
      <c r="C148" s="14">
        <f t="shared" si="24"/>
        <v>18.884553525708064</v>
      </c>
      <c r="D148" s="14">
        <f t="shared" si="25"/>
        <v>4.615839541877926</v>
      </c>
      <c r="E148" s="33">
        <f t="shared" si="26"/>
        <v>0.05957162847540482</v>
      </c>
      <c r="F148" s="14">
        <f t="shared" si="27"/>
        <v>16.786514412861273</v>
      </c>
      <c r="G148" s="14">
        <f t="shared" si="28"/>
        <v>4.615906804636464</v>
      </c>
      <c r="H148" s="16"/>
      <c r="I148" s="16"/>
      <c r="J148" s="34">
        <f t="shared" si="29"/>
        <v>102.7120989917507</v>
      </c>
      <c r="K148" s="33">
        <f t="shared" si="30"/>
        <v>0.009735951361293033</v>
      </c>
      <c r="L148" s="14">
        <f t="shared" si="31"/>
        <v>5.056864440634939</v>
      </c>
      <c r="M148" s="34">
        <f t="shared" si="32"/>
        <v>108.19841124350752</v>
      </c>
      <c r="N148" s="33">
        <f t="shared" si="33"/>
        <v>0.009242279886618994</v>
      </c>
      <c r="O148" s="14">
        <f t="shared" si="34"/>
        <v>5.082830368443077</v>
      </c>
      <c r="P148" s="34">
        <f t="shared" si="35"/>
        <v>113.6152765047357</v>
      </c>
      <c r="Q148" s="33">
        <f t="shared" si="36"/>
        <v>0.0088016332905577</v>
      </c>
      <c r="R148" s="14">
        <f t="shared" si="37"/>
        <v>5.109411320519288</v>
      </c>
      <c r="S148" s="34">
        <f t="shared" si="38"/>
        <v>119.03214176596394</v>
      </c>
      <c r="T148" s="33">
        <f t="shared" si="39"/>
        <v>0.008401092218992065</v>
      </c>
      <c r="U148" s="14">
        <f t="shared" si="40"/>
        <v>5.133573002744921</v>
      </c>
      <c r="V148" s="34">
        <f t="shared" si="41"/>
        <v>129.58808432630613</v>
      </c>
      <c r="W148" s="33">
        <f t="shared" si="42"/>
        <v>0.00771675887639464</v>
      </c>
      <c r="X148" s="14">
        <f t="shared" si="43"/>
        <v>5.186944554863492</v>
      </c>
      <c r="Y148" s="34">
        <f t="shared" si="44"/>
        <v>139.8662389245341</v>
      </c>
      <c r="Z148" s="33">
        <f t="shared" si="45"/>
        <v>0.0071496882141769596</v>
      </c>
      <c r="AA148" s="14">
        <f t="shared" si="46"/>
        <v>5.242667801412987</v>
      </c>
      <c r="AB148" s="34">
        <f t="shared" si="47"/>
        <v>150.00549954170486</v>
      </c>
      <c r="AC148" s="33">
        <f t="shared" si="48"/>
        <v>0.006666422251552036</v>
      </c>
      <c r="AD148" s="14">
        <f t="shared" si="49"/>
        <v>5.295660816998256</v>
      </c>
      <c r="AE148" s="34">
        <f t="shared" si="50"/>
        <v>159.86697219676134</v>
      </c>
      <c r="AF148" s="33">
        <f t="shared" si="51"/>
        <v>0.006255200722568376</v>
      </c>
      <c r="AG148" s="14">
        <f t="shared" si="52"/>
        <v>5.35122579382568</v>
      </c>
      <c r="AH148" s="34">
        <f t="shared" si="53"/>
        <v>169.45065688970362</v>
      </c>
      <c r="AI148" s="33">
        <f t="shared" si="54"/>
        <v>0.00590142297678377</v>
      </c>
      <c r="AJ148" s="14">
        <f t="shared" si="55"/>
        <v>5.409186963138194</v>
      </c>
      <c r="AK148" s="34">
        <f t="shared" si="56"/>
        <v>178.89544760158876</v>
      </c>
      <c r="AL148" s="33">
        <f t="shared" si="57"/>
        <v>0.005589857167450465</v>
      </c>
      <c r="AM148" s="14">
        <f t="shared" si="58"/>
        <v>5.465182687394282</v>
      </c>
      <c r="AN148" s="34">
        <f t="shared" si="59"/>
        <v>188.0624503513596</v>
      </c>
      <c r="AO148" s="33">
        <f t="shared" si="60"/>
        <v>0.005317382593557016</v>
      </c>
      <c r="AP148" s="14">
        <f t="shared" si="61"/>
        <v>5.523709385302125</v>
      </c>
      <c r="AQ148" s="34">
        <f t="shared" si="62"/>
        <v>197.02111212954475</v>
      </c>
      <c r="AR148" s="33">
        <f t="shared" si="63"/>
        <v>0.005075598189408671</v>
      </c>
      <c r="AS148" s="14">
        <f t="shared" si="64"/>
        <v>5.582692783950875</v>
      </c>
      <c r="AT148" s="34">
        <f t="shared" si="65"/>
        <v>205.8408799266728</v>
      </c>
      <c r="AU148" s="33">
        <f t="shared" si="66"/>
        <v>0.004858121478863831</v>
      </c>
      <c r="AV148" s="14">
        <f t="shared" si="67"/>
        <v>5.6403487991697405</v>
      </c>
      <c r="AW148" s="34">
        <f t="shared" si="68"/>
        <v>214.38285976168655</v>
      </c>
      <c r="AX148" s="33">
        <f t="shared" si="69"/>
        <v>0.00466455201274778</v>
      </c>
      <c r="AY148" s="35">
        <f t="shared" si="70"/>
        <v>5.70064407301898</v>
      </c>
      <c r="AZ148" s="2"/>
      <c r="BA148" s="19"/>
      <c r="BB148" s="3"/>
    </row>
    <row r="149" spans="1:54" ht="12.75">
      <c r="A149" s="27">
        <f t="shared" si="22"/>
        <v>3100</v>
      </c>
      <c r="B149" s="28">
        <f t="shared" si="23"/>
        <v>0.0513834123925289</v>
      </c>
      <c r="C149" s="20">
        <f t="shared" si="24"/>
        <v>19.461533468442806</v>
      </c>
      <c r="D149" s="20">
        <f t="shared" si="25"/>
        <v>4.615839541877926</v>
      </c>
      <c r="E149" s="28">
        <f t="shared" si="26"/>
        <v>0.05780549659057218</v>
      </c>
      <c r="F149" s="20">
        <f t="shared" si="27"/>
        <v>17.29939294670977</v>
      </c>
      <c r="G149" s="20">
        <f t="shared" si="28"/>
        <v>4.615906804636464</v>
      </c>
      <c r="H149" s="29"/>
      <c r="I149" s="29"/>
      <c r="J149" s="30">
        <f t="shared" si="29"/>
        <v>99.66697302104953</v>
      </c>
      <c r="K149" s="28">
        <f t="shared" si="30"/>
        <v>0.01003341397544803</v>
      </c>
      <c r="L149" s="20">
        <f t="shared" si="31"/>
        <v>5.056864440634939</v>
      </c>
      <c r="M149" s="30">
        <f t="shared" si="32"/>
        <v>104.99063148532464</v>
      </c>
      <c r="N149" s="28">
        <f t="shared" si="33"/>
        <v>0.0095246593515325</v>
      </c>
      <c r="O149" s="20">
        <f t="shared" si="34"/>
        <v>5.082830368443077</v>
      </c>
      <c r="P149" s="30">
        <f t="shared" si="35"/>
        <v>110.2469018677735</v>
      </c>
      <c r="Q149" s="28">
        <f t="shared" si="36"/>
        <v>0.009070549675848189</v>
      </c>
      <c r="R149" s="20">
        <f t="shared" si="37"/>
        <v>5.109411320519288</v>
      </c>
      <c r="S149" s="30">
        <f t="shared" si="38"/>
        <v>115.50317225022238</v>
      </c>
      <c r="T149" s="28">
        <f t="shared" si="39"/>
        <v>0.008657770869129309</v>
      </c>
      <c r="U149" s="20">
        <f t="shared" si="40"/>
        <v>5.133573002744921</v>
      </c>
      <c r="V149" s="30">
        <f t="shared" si="41"/>
        <v>125.74616068781499</v>
      </c>
      <c r="W149" s="28">
        <f t="shared" si="42"/>
        <v>0.00795252908343389</v>
      </c>
      <c r="X149" s="20">
        <f t="shared" si="43"/>
        <v>5.186944554863492</v>
      </c>
      <c r="Y149" s="30">
        <f t="shared" si="44"/>
        <v>135.71959679810257</v>
      </c>
      <c r="Z149" s="28">
        <f t="shared" si="45"/>
        <v>0.007368132705902502</v>
      </c>
      <c r="AA149" s="20">
        <f t="shared" si="46"/>
        <v>5.242667801412987</v>
      </c>
      <c r="AB149" s="30">
        <f t="shared" si="47"/>
        <v>145.55825674473763</v>
      </c>
      <c r="AC149" s="28">
        <f t="shared" si="48"/>
        <v>0.006870101513744276</v>
      </c>
      <c r="AD149" s="20">
        <f t="shared" si="49"/>
        <v>5.295660816998256</v>
      </c>
      <c r="AE149" s="30">
        <f t="shared" si="50"/>
        <v>155.12736436406755</v>
      </c>
      <c r="AF149" s="28">
        <f t="shared" si="51"/>
        <v>0.006446315929490722</v>
      </c>
      <c r="AG149" s="20">
        <f t="shared" si="52"/>
        <v>5.35122579382568</v>
      </c>
      <c r="AH149" s="30">
        <f t="shared" si="53"/>
        <v>164.4269196560925</v>
      </c>
      <c r="AI149" s="28">
        <f t="shared" si="54"/>
        <v>0.0060817292088883755</v>
      </c>
      <c r="AJ149" s="20">
        <f t="shared" si="55"/>
        <v>5.409186963138194</v>
      </c>
      <c r="AK149" s="30">
        <f t="shared" si="56"/>
        <v>173.59169878446488</v>
      </c>
      <c r="AL149" s="28">
        <f t="shared" si="57"/>
        <v>0.005760644126431536</v>
      </c>
      <c r="AM149" s="20">
        <f t="shared" si="58"/>
        <v>5.465182687394282</v>
      </c>
      <c r="AN149" s="30">
        <f t="shared" si="59"/>
        <v>182.48692558553216</v>
      </c>
      <c r="AO149" s="28">
        <f t="shared" si="60"/>
        <v>0.005479844634301196</v>
      </c>
      <c r="AP149" s="20">
        <f t="shared" si="61"/>
        <v>5.523709385302125</v>
      </c>
      <c r="AQ149" s="30">
        <f t="shared" si="62"/>
        <v>191.17998814112065</v>
      </c>
      <c r="AR149" s="28">
        <f t="shared" si="63"/>
        <v>0.005230672988962862</v>
      </c>
      <c r="AS149" s="20">
        <f t="shared" si="64"/>
        <v>5.582692783950875</v>
      </c>
      <c r="AT149" s="30">
        <f t="shared" si="65"/>
        <v>199.73827453305663</v>
      </c>
      <c r="AU149" s="28">
        <f t="shared" si="66"/>
        <v>0.00500655171042093</v>
      </c>
      <c r="AV149" s="20">
        <f t="shared" si="67"/>
        <v>5.6403487991697405</v>
      </c>
      <c r="AW149" s="30">
        <f t="shared" si="68"/>
        <v>208.0270085976875</v>
      </c>
      <c r="AX149" s="28">
        <f t="shared" si="69"/>
        <v>0.004807068114573255</v>
      </c>
      <c r="AY149" s="31">
        <f t="shared" si="70"/>
        <v>5.70064407301898</v>
      </c>
      <c r="AZ149" s="2"/>
      <c r="BA149" s="19"/>
      <c r="BB149" s="3"/>
    </row>
    <row r="150" spans="1:54" ht="12.75">
      <c r="A150" s="27">
        <f t="shared" si="22"/>
        <v>3200</v>
      </c>
      <c r="B150" s="28">
        <f t="shared" si="23"/>
        <v>0.049903901526058156</v>
      </c>
      <c r="C150" s="20">
        <f t="shared" si="24"/>
        <v>20.038513411177547</v>
      </c>
      <c r="D150" s="20">
        <f t="shared" si="25"/>
        <v>4.615839541877926</v>
      </c>
      <c r="E150" s="28">
        <f t="shared" si="26"/>
        <v>0.056141071120069094</v>
      </c>
      <c r="F150" s="20">
        <f t="shared" si="27"/>
        <v>17.812271480558266</v>
      </c>
      <c r="G150" s="20">
        <f t="shared" si="28"/>
        <v>4.615906804636464</v>
      </c>
      <c r="H150" s="29"/>
      <c r="I150" s="29"/>
      <c r="J150" s="30">
        <f t="shared" si="29"/>
        <v>96.79720702562626</v>
      </c>
      <c r="K150" s="28">
        <f t="shared" si="30"/>
        <v>0.010330876589603027</v>
      </c>
      <c r="L150" s="20">
        <f t="shared" si="31"/>
        <v>5.056864440634939</v>
      </c>
      <c r="M150" s="30">
        <f t="shared" si="32"/>
        <v>101.96757846242444</v>
      </c>
      <c r="N150" s="28">
        <f t="shared" si="33"/>
        <v>0.009807038816446003</v>
      </c>
      <c r="O150" s="20">
        <f t="shared" si="34"/>
        <v>5.082830368443077</v>
      </c>
      <c r="P150" s="30">
        <f t="shared" si="35"/>
        <v>107.07250215951626</v>
      </c>
      <c r="Q150" s="28">
        <f t="shared" si="36"/>
        <v>0.009339466061138679</v>
      </c>
      <c r="R150" s="20">
        <f t="shared" si="37"/>
        <v>5.109411320519288</v>
      </c>
      <c r="S150" s="30">
        <f t="shared" si="38"/>
        <v>112.17742585660814</v>
      </c>
      <c r="T150" s="28">
        <f t="shared" si="39"/>
        <v>0.008914449519266555</v>
      </c>
      <c r="U150" s="20">
        <f t="shared" si="40"/>
        <v>5.133573002744921</v>
      </c>
      <c r="V150" s="30">
        <f t="shared" si="41"/>
        <v>122.12548229196659</v>
      </c>
      <c r="W150" s="28">
        <f t="shared" si="42"/>
        <v>0.00818829929047314</v>
      </c>
      <c r="X150" s="20">
        <f t="shared" si="43"/>
        <v>5.186944554863492</v>
      </c>
      <c r="Y150" s="30">
        <f t="shared" si="44"/>
        <v>131.81174776849986</v>
      </c>
      <c r="Z150" s="28">
        <f t="shared" si="45"/>
        <v>0.007586577197628042</v>
      </c>
      <c r="AA150" s="20">
        <f t="shared" si="46"/>
        <v>5.242667801412987</v>
      </c>
      <c r="AB150" s="30">
        <f t="shared" si="47"/>
        <v>141.3671177656205</v>
      </c>
      <c r="AC150" s="28">
        <f t="shared" si="48"/>
        <v>0.007073780775936517</v>
      </c>
      <c r="AD150" s="20">
        <f t="shared" si="49"/>
        <v>5.295660816998256</v>
      </c>
      <c r="AE150" s="30">
        <f t="shared" si="50"/>
        <v>150.66069680391587</v>
      </c>
      <c r="AF150" s="28">
        <f t="shared" si="51"/>
        <v>0.0066374311364130675</v>
      </c>
      <c r="AG150" s="20">
        <f t="shared" si="52"/>
        <v>5.35122579382568</v>
      </c>
      <c r="AH150" s="30">
        <f t="shared" si="53"/>
        <v>159.69248488338613</v>
      </c>
      <c r="AI150" s="28">
        <f t="shared" si="54"/>
        <v>0.006262035440992983</v>
      </c>
      <c r="AJ150" s="20">
        <f t="shared" si="55"/>
        <v>5.409186963138194</v>
      </c>
      <c r="AK150" s="30">
        <f t="shared" si="56"/>
        <v>168.5933774834437</v>
      </c>
      <c r="AL150" s="28">
        <f t="shared" si="57"/>
        <v>0.005931431085412608</v>
      </c>
      <c r="AM150" s="20">
        <f t="shared" si="58"/>
        <v>5.465182687394282</v>
      </c>
      <c r="AN150" s="30">
        <f t="shared" si="59"/>
        <v>177.23247912467605</v>
      </c>
      <c r="AO150" s="28">
        <f t="shared" si="60"/>
        <v>0.005642306675045376</v>
      </c>
      <c r="AP150" s="20">
        <f t="shared" si="61"/>
        <v>5.523709385302125</v>
      </c>
      <c r="AQ150" s="30">
        <f t="shared" si="62"/>
        <v>185.6752375467895</v>
      </c>
      <c r="AR150" s="28">
        <f t="shared" si="63"/>
        <v>0.005385747788517053</v>
      </c>
      <c r="AS150" s="20">
        <f t="shared" si="64"/>
        <v>5.582692783950875</v>
      </c>
      <c r="AT150" s="30">
        <f t="shared" si="65"/>
        <v>193.9871004894904</v>
      </c>
      <c r="AU150" s="28">
        <f t="shared" si="66"/>
        <v>0.005154981941978028</v>
      </c>
      <c r="AV150" s="20">
        <f t="shared" si="67"/>
        <v>5.6403487991697405</v>
      </c>
      <c r="AW150" s="30">
        <f t="shared" si="68"/>
        <v>202.03717247336598</v>
      </c>
      <c r="AX150" s="28">
        <f t="shared" si="69"/>
        <v>0.004949584216398729</v>
      </c>
      <c r="AY150" s="31">
        <f t="shared" si="70"/>
        <v>5.70064407301898</v>
      </c>
      <c r="AZ150" s="2"/>
      <c r="BA150" s="19"/>
      <c r="BB150" s="3"/>
    </row>
    <row r="151" spans="1:54" ht="12.75">
      <c r="A151" s="27">
        <f t="shared" si="22"/>
        <v>3300</v>
      </c>
      <c r="B151" s="28">
        <f t="shared" si="23"/>
        <v>0.04850720682899523</v>
      </c>
      <c r="C151" s="20">
        <f t="shared" si="24"/>
        <v>20.61549335391229</v>
      </c>
      <c r="D151" s="20">
        <f t="shared" si="25"/>
        <v>4.615839541877926</v>
      </c>
      <c r="E151" s="28">
        <f t="shared" si="26"/>
        <v>0.05456981248250768</v>
      </c>
      <c r="F151" s="20">
        <f t="shared" si="27"/>
        <v>18.325150014406763</v>
      </c>
      <c r="G151" s="20">
        <f t="shared" si="28"/>
        <v>4.615906804636464</v>
      </c>
      <c r="H151" s="29"/>
      <c r="I151" s="29"/>
      <c r="J151" s="30">
        <f t="shared" si="29"/>
        <v>94.08807724601176</v>
      </c>
      <c r="K151" s="28">
        <f t="shared" si="30"/>
        <v>0.010628339203758023</v>
      </c>
      <c r="L151" s="20">
        <f t="shared" si="31"/>
        <v>5.056864440634939</v>
      </c>
      <c r="M151" s="30">
        <f t="shared" si="32"/>
        <v>99.11374195354045</v>
      </c>
      <c r="N151" s="28">
        <f t="shared" si="33"/>
        <v>0.01008941828135951</v>
      </c>
      <c r="O151" s="20">
        <f t="shared" si="34"/>
        <v>5.082830368443077</v>
      </c>
      <c r="P151" s="30">
        <f t="shared" si="35"/>
        <v>104.07579065211307</v>
      </c>
      <c r="Q151" s="28">
        <f t="shared" si="36"/>
        <v>0.009608382446429167</v>
      </c>
      <c r="R151" s="20">
        <f t="shared" si="37"/>
        <v>5.109411320519288</v>
      </c>
      <c r="S151" s="30">
        <f t="shared" si="38"/>
        <v>109.03783935068572</v>
      </c>
      <c r="T151" s="28">
        <f t="shared" si="39"/>
        <v>0.0091711281694038</v>
      </c>
      <c r="U151" s="20">
        <f t="shared" si="40"/>
        <v>5.133573002744921</v>
      </c>
      <c r="V151" s="30">
        <f t="shared" si="41"/>
        <v>118.70747271200672</v>
      </c>
      <c r="W151" s="28">
        <f t="shared" si="42"/>
        <v>0.008424069497512388</v>
      </c>
      <c r="X151" s="20">
        <f t="shared" si="43"/>
        <v>5.186944554863492</v>
      </c>
      <c r="Y151" s="30">
        <f t="shared" si="44"/>
        <v>128.12264203750348</v>
      </c>
      <c r="Z151" s="28">
        <f t="shared" si="45"/>
        <v>0.007805021689353584</v>
      </c>
      <c r="AA151" s="20">
        <f t="shared" si="46"/>
        <v>5.242667801412987</v>
      </c>
      <c r="AB151" s="30">
        <f t="shared" si="47"/>
        <v>137.41057934508817</v>
      </c>
      <c r="AC151" s="28">
        <f t="shared" si="48"/>
        <v>0.0072774600381287574</v>
      </c>
      <c r="AD151" s="20">
        <f t="shared" si="49"/>
        <v>5.295660816998256</v>
      </c>
      <c r="AE151" s="30">
        <f t="shared" si="50"/>
        <v>146.44405261684858</v>
      </c>
      <c r="AF151" s="28">
        <f t="shared" si="51"/>
        <v>0.006828546343335412</v>
      </c>
      <c r="AG151" s="20">
        <f t="shared" si="52"/>
        <v>5.35122579382568</v>
      </c>
      <c r="AH151" s="30">
        <f t="shared" si="53"/>
        <v>155.22306185278478</v>
      </c>
      <c r="AI151" s="28">
        <f t="shared" si="54"/>
        <v>0.006442341673097589</v>
      </c>
      <c r="AJ151" s="20">
        <f t="shared" si="55"/>
        <v>5.409186963138194</v>
      </c>
      <c r="AK151" s="30">
        <f t="shared" si="56"/>
        <v>163.87483907080886</v>
      </c>
      <c r="AL151" s="28">
        <f t="shared" si="57"/>
        <v>0.006102218044393678</v>
      </c>
      <c r="AM151" s="20">
        <f t="shared" si="58"/>
        <v>5.465182687394282</v>
      </c>
      <c r="AN151" s="30">
        <f t="shared" si="59"/>
        <v>172.27215225300867</v>
      </c>
      <c r="AO151" s="28">
        <f t="shared" si="60"/>
        <v>0.005804768715789556</v>
      </c>
      <c r="AP151" s="20">
        <f t="shared" si="61"/>
        <v>5.523709385302125</v>
      </c>
      <c r="AQ151" s="30">
        <f t="shared" si="62"/>
        <v>180.47861740834034</v>
      </c>
      <c r="AR151" s="28">
        <f t="shared" si="63"/>
        <v>0.005540822588071243</v>
      </c>
      <c r="AS151" s="20">
        <f t="shared" si="64"/>
        <v>5.582692783950875</v>
      </c>
      <c r="AT151" s="30">
        <f t="shared" si="65"/>
        <v>188.55785054575986</v>
      </c>
      <c r="AU151" s="28">
        <f t="shared" si="66"/>
        <v>0.005303412173535128</v>
      </c>
      <c r="AV151" s="20">
        <f t="shared" si="67"/>
        <v>5.6403487991697405</v>
      </c>
      <c r="AW151" s="30">
        <f t="shared" si="68"/>
        <v>196.38261964735517</v>
      </c>
      <c r="AX151" s="28">
        <f t="shared" si="69"/>
        <v>0.0050921003182242035</v>
      </c>
      <c r="AY151" s="31">
        <f t="shared" si="70"/>
        <v>5.70064407301898</v>
      </c>
      <c r="AZ151" s="2"/>
      <c r="BA151" s="19"/>
      <c r="BB151" s="3"/>
    </row>
    <row r="152" spans="1:54" ht="12.75">
      <c r="A152" s="27">
        <f t="shared" si="22"/>
        <v>3400</v>
      </c>
      <c r="B152" s="28">
        <f t="shared" si="23"/>
        <v>0.047186564116526</v>
      </c>
      <c r="C152" s="20">
        <f t="shared" si="24"/>
        <v>21.192473296647027</v>
      </c>
      <c r="D152" s="20">
        <f t="shared" si="25"/>
        <v>4.615839541877926</v>
      </c>
      <c r="E152" s="28">
        <f t="shared" si="26"/>
        <v>0.053084111080860315</v>
      </c>
      <c r="F152" s="20">
        <f t="shared" si="27"/>
        <v>18.83802854825526</v>
      </c>
      <c r="G152" s="20">
        <f t="shared" si="28"/>
        <v>4.615906804636464</v>
      </c>
      <c r="H152" s="29"/>
      <c r="I152" s="29"/>
      <c r="J152" s="30">
        <f t="shared" si="29"/>
        <v>91.5264633814321</v>
      </c>
      <c r="K152" s="28">
        <f t="shared" si="30"/>
        <v>0.010925801817913017</v>
      </c>
      <c r="L152" s="20">
        <f t="shared" si="31"/>
        <v>5.056864440634939</v>
      </c>
      <c r="M152" s="30">
        <f t="shared" si="32"/>
        <v>96.41530084399675</v>
      </c>
      <c r="N152" s="28">
        <f t="shared" si="33"/>
        <v>0.010371797746273012</v>
      </c>
      <c r="O152" s="20">
        <f t="shared" si="34"/>
        <v>5.082830368443077</v>
      </c>
      <c r="P152" s="30">
        <f t="shared" si="35"/>
        <v>101.24225428804793</v>
      </c>
      <c r="Q152" s="28">
        <f t="shared" si="36"/>
        <v>0.009877298831719655</v>
      </c>
      <c r="R152" s="20">
        <f t="shared" si="37"/>
        <v>5.109411320519288</v>
      </c>
      <c r="S152" s="30">
        <f t="shared" si="38"/>
        <v>106.06920773209912</v>
      </c>
      <c r="T152" s="28">
        <f t="shared" si="39"/>
        <v>0.009427806819541047</v>
      </c>
      <c r="U152" s="20">
        <f t="shared" si="40"/>
        <v>5.133573002744921</v>
      </c>
      <c r="V152" s="30">
        <f t="shared" si="41"/>
        <v>115.47557854614756</v>
      </c>
      <c r="W152" s="28">
        <f t="shared" si="42"/>
        <v>0.008659839704551638</v>
      </c>
      <c r="X152" s="20">
        <f t="shared" si="43"/>
        <v>5.186944554863492</v>
      </c>
      <c r="Y152" s="30">
        <f t="shared" si="44"/>
        <v>124.6344132861421</v>
      </c>
      <c r="Z152" s="28">
        <f t="shared" si="45"/>
        <v>0.008023466181079126</v>
      </c>
      <c r="AA152" s="20">
        <f t="shared" si="46"/>
        <v>5.242667801412987</v>
      </c>
      <c r="AB152" s="30">
        <f t="shared" si="47"/>
        <v>133.66947998910973</v>
      </c>
      <c r="AC152" s="28">
        <f t="shared" si="48"/>
        <v>0.007481139300320998</v>
      </c>
      <c r="AD152" s="20">
        <f t="shared" si="49"/>
        <v>5.295660816998256</v>
      </c>
      <c r="AE152" s="30">
        <f t="shared" si="50"/>
        <v>142.4570106180234</v>
      </c>
      <c r="AF152" s="28">
        <f t="shared" si="51"/>
        <v>0.007019661550257758</v>
      </c>
      <c r="AG152" s="20">
        <f t="shared" si="52"/>
        <v>5.35122579382568</v>
      </c>
      <c r="AH152" s="30">
        <f t="shared" si="53"/>
        <v>150.99700517288318</v>
      </c>
      <c r="AI152" s="28">
        <f t="shared" si="54"/>
        <v>0.006622647905202196</v>
      </c>
      <c r="AJ152" s="20">
        <f t="shared" si="55"/>
        <v>5.409186963138194</v>
      </c>
      <c r="AK152" s="30">
        <f t="shared" si="56"/>
        <v>159.41323169071603</v>
      </c>
      <c r="AL152" s="28">
        <f t="shared" si="57"/>
        <v>0.00627300500337475</v>
      </c>
      <c r="AM152" s="20">
        <f t="shared" si="58"/>
        <v>5.465182687394282</v>
      </c>
      <c r="AN152" s="30">
        <f t="shared" si="59"/>
        <v>167.58192213449496</v>
      </c>
      <c r="AO152" s="28">
        <f t="shared" si="60"/>
        <v>0.005967230756533736</v>
      </c>
      <c r="AP152" s="20">
        <f t="shared" si="61"/>
        <v>5.523709385302125</v>
      </c>
      <c r="AQ152" s="30">
        <f t="shared" si="62"/>
        <v>175.5649605227335</v>
      </c>
      <c r="AR152" s="28">
        <f t="shared" si="63"/>
        <v>0.005695897387625434</v>
      </c>
      <c r="AS152" s="20">
        <f t="shared" si="64"/>
        <v>5.582692783950875</v>
      </c>
      <c r="AT152" s="30">
        <f t="shared" si="65"/>
        <v>183.42423087394502</v>
      </c>
      <c r="AU152" s="28">
        <f t="shared" si="66"/>
        <v>0.0054518424050922255</v>
      </c>
      <c r="AV152" s="20">
        <f t="shared" si="67"/>
        <v>5.6403487991697405</v>
      </c>
      <c r="AW152" s="30">
        <f t="shared" si="68"/>
        <v>191.03596515110266</v>
      </c>
      <c r="AX152" s="28">
        <f t="shared" si="69"/>
        <v>0.005234616420049677</v>
      </c>
      <c r="AY152" s="31">
        <f t="shared" si="70"/>
        <v>5.70064407301898</v>
      </c>
      <c r="AZ152" s="2"/>
      <c r="BA152" s="19"/>
      <c r="BB152" s="3"/>
    </row>
    <row r="153" spans="1:54" ht="12.75">
      <c r="A153" s="27">
        <f t="shared" si="22"/>
        <v>3500</v>
      </c>
      <c r="B153" s="28">
        <f t="shared" si="23"/>
        <v>0.04593592631857937</v>
      </c>
      <c r="C153" s="20">
        <f t="shared" si="24"/>
        <v>21.769453239381768</v>
      </c>
      <c r="D153" s="20">
        <f t="shared" si="25"/>
        <v>4.615839541877926</v>
      </c>
      <c r="E153" s="28">
        <f t="shared" si="26"/>
        <v>0.05167716406042935</v>
      </c>
      <c r="F153" s="20">
        <f t="shared" si="27"/>
        <v>19.350907082103756</v>
      </c>
      <c r="G153" s="20">
        <f t="shared" si="28"/>
        <v>4.615906804636464</v>
      </c>
      <c r="H153" s="29"/>
      <c r="I153" s="29"/>
      <c r="J153" s="30">
        <f t="shared" si="29"/>
        <v>89.10063609859529</v>
      </c>
      <c r="K153" s="28">
        <f t="shared" si="30"/>
        <v>0.011223264432068015</v>
      </c>
      <c r="L153" s="20">
        <f t="shared" si="31"/>
        <v>5.056864440634939</v>
      </c>
      <c r="M153" s="30">
        <f t="shared" si="32"/>
        <v>93.8598992843891</v>
      </c>
      <c r="N153" s="28">
        <f t="shared" si="33"/>
        <v>0.010654177211186517</v>
      </c>
      <c r="O153" s="20">
        <f t="shared" si="34"/>
        <v>5.082830368443077</v>
      </c>
      <c r="P153" s="30">
        <f t="shared" si="35"/>
        <v>98.55891863238803</v>
      </c>
      <c r="Q153" s="28">
        <f t="shared" si="36"/>
        <v>0.010146215217010144</v>
      </c>
      <c r="R153" s="20">
        <f t="shared" si="37"/>
        <v>5.109411320519288</v>
      </c>
      <c r="S153" s="30">
        <f t="shared" si="38"/>
        <v>103.25793798038698</v>
      </c>
      <c r="T153" s="28">
        <f t="shared" si="39"/>
        <v>0.009684485469678292</v>
      </c>
      <c r="U153" s="20">
        <f t="shared" si="40"/>
        <v>5.133573002744921</v>
      </c>
      <c r="V153" s="30">
        <f t="shared" si="41"/>
        <v>112.4150013252054</v>
      </c>
      <c r="W153" s="28">
        <f t="shared" si="42"/>
        <v>0.008895609911590888</v>
      </c>
      <c r="X153" s="20">
        <f t="shared" si="43"/>
        <v>5.186944554863492</v>
      </c>
      <c r="Y153" s="30">
        <f t="shared" si="44"/>
        <v>121.33108931884442</v>
      </c>
      <c r="Z153" s="28">
        <f t="shared" si="45"/>
        <v>0.008241910672804666</v>
      </c>
      <c r="AA153" s="20">
        <f t="shared" si="46"/>
        <v>5.242667801412987</v>
      </c>
      <c r="AB153" s="30">
        <f t="shared" si="47"/>
        <v>130.1266896368937</v>
      </c>
      <c r="AC153" s="28">
        <f t="shared" si="48"/>
        <v>0.0076848185625132395</v>
      </c>
      <c r="AD153" s="20">
        <f t="shared" si="49"/>
        <v>5.295660816998256</v>
      </c>
      <c r="AE153" s="30">
        <f t="shared" si="50"/>
        <v>138.68131460376355</v>
      </c>
      <c r="AF153" s="28">
        <f t="shared" si="51"/>
        <v>0.007210776757180104</v>
      </c>
      <c r="AG153" s="20">
        <f t="shared" si="52"/>
        <v>5.35122579382568</v>
      </c>
      <c r="AH153" s="30">
        <f t="shared" si="53"/>
        <v>146.994964219454</v>
      </c>
      <c r="AI153" s="28">
        <f t="shared" si="54"/>
        <v>0.006802954137306802</v>
      </c>
      <c r="AJ153" s="20">
        <f t="shared" si="55"/>
        <v>5.409186963138194</v>
      </c>
      <c r="AK153" s="30">
        <f t="shared" si="56"/>
        <v>155.18812615955474</v>
      </c>
      <c r="AL153" s="28">
        <f t="shared" si="57"/>
        <v>0.006443791962355821</v>
      </c>
      <c r="AM153" s="20">
        <f t="shared" si="58"/>
        <v>5.465182687394282</v>
      </c>
      <c r="AN153" s="30">
        <f t="shared" si="59"/>
        <v>163.140312748476</v>
      </c>
      <c r="AO153" s="28">
        <f t="shared" si="60"/>
        <v>0.006129692797277916</v>
      </c>
      <c r="AP153" s="20">
        <f t="shared" si="61"/>
        <v>5.523709385302125</v>
      </c>
      <c r="AQ153" s="30">
        <f t="shared" si="62"/>
        <v>170.91176782401274</v>
      </c>
      <c r="AR153" s="28">
        <f t="shared" si="63"/>
        <v>0.0058509721871796245</v>
      </c>
      <c r="AS153" s="20">
        <f t="shared" si="64"/>
        <v>5.582692783950875</v>
      </c>
      <c r="AT153" s="30">
        <f t="shared" si="65"/>
        <v>178.56273522395972</v>
      </c>
      <c r="AU153" s="28">
        <f t="shared" si="66"/>
        <v>0.005600272636649324</v>
      </c>
      <c r="AV153" s="20">
        <f t="shared" si="67"/>
        <v>5.6403487991697405</v>
      </c>
      <c r="AW153" s="30">
        <f t="shared" si="68"/>
        <v>185.9727272727273</v>
      </c>
      <c r="AX153" s="28">
        <f t="shared" si="69"/>
        <v>0.005377132521875152</v>
      </c>
      <c r="AY153" s="31">
        <f t="shared" si="70"/>
        <v>5.70064407301898</v>
      </c>
      <c r="AZ153" s="2"/>
      <c r="BA153" s="19"/>
      <c r="BB153" s="3"/>
    </row>
    <row r="154" spans="1:54" ht="12.75">
      <c r="A154" s="27">
        <f t="shared" si="22"/>
        <v>3600</v>
      </c>
      <c r="B154" s="28">
        <f t="shared" si="23"/>
        <v>0.04474987090111025</v>
      </c>
      <c r="C154" s="20">
        <f t="shared" si="24"/>
        <v>22.346433182116506</v>
      </c>
      <c r="D154" s="20">
        <f t="shared" si="25"/>
        <v>4.615839541877926</v>
      </c>
      <c r="E154" s="28">
        <f t="shared" si="26"/>
        <v>0.05034287115930802</v>
      </c>
      <c r="F154" s="20">
        <f t="shared" si="27"/>
        <v>19.86378561595225</v>
      </c>
      <c r="G154" s="20">
        <f t="shared" si="28"/>
        <v>4.615906804636464</v>
      </c>
      <c r="H154" s="29"/>
      <c r="I154" s="29"/>
      <c r="J154" s="30">
        <f t="shared" si="29"/>
        <v>86.80007745933386</v>
      </c>
      <c r="K154" s="28">
        <f t="shared" si="30"/>
        <v>0.011520727046223011</v>
      </c>
      <c r="L154" s="20">
        <f t="shared" si="31"/>
        <v>5.056864440634939</v>
      </c>
      <c r="M154" s="30">
        <f t="shared" si="32"/>
        <v>91.43645752646529</v>
      </c>
      <c r="N154" s="28">
        <f t="shared" si="33"/>
        <v>0.010936556676100022</v>
      </c>
      <c r="O154" s="20">
        <f t="shared" si="34"/>
        <v>5.082830368443077</v>
      </c>
      <c r="P154" s="30">
        <f t="shared" si="35"/>
        <v>96.01414923831656</v>
      </c>
      <c r="Q154" s="28">
        <f t="shared" si="36"/>
        <v>0.010415131602300632</v>
      </c>
      <c r="R154" s="20">
        <f t="shared" si="37"/>
        <v>5.109411320519288</v>
      </c>
      <c r="S154" s="30">
        <f t="shared" si="38"/>
        <v>100.59184095016784</v>
      </c>
      <c r="T154" s="28">
        <f t="shared" si="39"/>
        <v>0.00994116411981554</v>
      </c>
      <c r="U154" s="20">
        <f t="shared" si="40"/>
        <v>5.133573002744921</v>
      </c>
      <c r="V154" s="30">
        <f t="shared" si="41"/>
        <v>109.5124709527498</v>
      </c>
      <c r="W154" s="28">
        <f t="shared" si="42"/>
        <v>0.009131380118630138</v>
      </c>
      <c r="X154" s="20">
        <f t="shared" si="43"/>
        <v>5.186944554863492</v>
      </c>
      <c r="Y154" s="30">
        <f t="shared" si="44"/>
        <v>118.19834753421118</v>
      </c>
      <c r="Z154" s="28">
        <f t="shared" si="45"/>
        <v>0.008460355164530208</v>
      </c>
      <c r="AA154" s="20">
        <f t="shared" si="46"/>
        <v>5.242667801412987</v>
      </c>
      <c r="AB154" s="30">
        <f t="shared" si="47"/>
        <v>126.76684740511233</v>
      </c>
      <c r="AC154" s="28">
        <f t="shared" si="48"/>
        <v>0.007888497824705479</v>
      </c>
      <c r="AD154" s="20">
        <f t="shared" si="49"/>
        <v>5.295660816998256</v>
      </c>
      <c r="AE154" s="30">
        <f t="shared" si="50"/>
        <v>135.10059385489282</v>
      </c>
      <c r="AF154" s="28">
        <f t="shared" si="51"/>
        <v>0.00740189196410245</v>
      </c>
      <c r="AG154" s="20">
        <f t="shared" si="52"/>
        <v>5.35122579382568</v>
      </c>
      <c r="AH154" s="30">
        <f t="shared" si="53"/>
        <v>143.19958688355277</v>
      </c>
      <c r="AI154" s="28">
        <f t="shared" si="54"/>
        <v>0.006983260369411409</v>
      </c>
      <c r="AJ154" s="20">
        <f t="shared" si="55"/>
        <v>5.409186963138194</v>
      </c>
      <c r="AK154" s="30">
        <f t="shared" si="56"/>
        <v>151.18120320165247</v>
      </c>
      <c r="AL154" s="28">
        <f t="shared" si="57"/>
        <v>0.0066145789213368925</v>
      </c>
      <c r="AM154" s="20">
        <f t="shared" si="58"/>
        <v>5.465182687394282</v>
      </c>
      <c r="AN154" s="30">
        <f t="shared" si="59"/>
        <v>158.92806609863152</v>
      </c>
      <c r="AO154" s="28">
        <f t="shared" si="60"/>
        <v>0.006292154838022097</v>
      </c>
      <c r="AP154" s="20">
        <f t="shared" si="61"/>
        <v>5.523709385302125</v>
      </c>
      <c r="AQ154" s="30">
        <f t="shared" si="62"/>
        <v>166.4988639297702</v>
      </c>
      <c r="AR154" s="28">
        <f t="shared" si="63"/>
        <v>0.006006046986733816</v>
      </c>
      <c r="AS154" s="20">
        <f t="shared" si="64"/>
        <v>5.582692783950875</v>
      </c>
      <c r="AT154" s="30">
        <f t="shared" si="65"/>
        <v>173.95228505034856</v>
      </c>
      <c r="AU154" s="28">
        <f t="shared" si="66"/>
        <v>0.005748702868206422</v>
      </c>
      <c r="AV154" s="20">
        <f t="shared" si="67"/>
        <v>5.6403487991697405</v>
      </c>
      <c r="AW154" s="30">
        <f t="shared" si="68"/>
        <v>181.17095274980633</v>
      </c>
      <c r="AX154" s="28">
        <f t="shared" si="69"/>
        <v>0.005519648623700628</v>
      </c>
      <c r="AY154" s="31">
        <f t="shared" si="70"/>
        <v>5.70064407301898</v>
      </c>
      <c r="AZ154" s="2"/>
      <c r="BA154" s="19"/>
      <c r="BB154" s="3"/>
    </row>
    <row r="155" spans="1:54" ht="12.75">
      <c r="A155" s="27">
        <f t="shared" si="22"/>
        <v>3700</v>
      </c>
      <c r="B155" s="28">
        <f t="shared" si="23"/>
        <v>0.04362352126856279</v>
      </c>
      <c r="C155" s="20">
        <f t="shared" si="24"/>
        <v>22.92341312485125</v>
      </c>
      <c r="D155" s="20">
        <f t="shared" si="25"/>
        <v>4.615839541877926</v>
      </c>
      <c r="E155" s="28">
        <f t="shared" si="26"/>
        <v>0.049075746287440214</v>
      </c>
      <c r="F155" s="20">
        <f t="shared" si="27"/>
        <v>20.376664149800746</v>
      </c>
      <c r="G155" s="20">
        <f t="shared" si="28"/>
        <v>4.615906804636464</v>
      </c>
      <c r="H155" s="29"/>
      <c r="I155" s="29"/>
      <c r="J155" s="30">
        <f t="shared" si="29"/>
        <v>84.6153284671533</v>
      </c>
      <c r="K155" s="28">
        <f t="shared" si="30"/>
        <v>0.011818189660378007</v>
      </c>
      <c r="L155" s="20">
        <f t="shared" si="31"/>
        <v>5.056864440634939</v>
      </c>
      <c r="M155" s="30">
        <f t="shared" si="32"/>
        <v>89.13501132645358</v>
      </c>
      <c r="N155" s="28">
        <f t="shared" si="33"/>
        <v>0.011218936141013526</v>
      </c>
      <c r="O155" s="20">
        <f t="shared" si="34"/>
        <v>5.082830368443077</v>
      </c>
      <c r="P155" s="30">
        <f t="shared" si="35"/>
        <v>93.59748301031965</v>
      </c>
      <c r="Q155" s="28">
        <f t="shared" si="36"/>
        <v>0.010684047987591124</v>
      </c>
      <c r="R155" s="20">
        <f t="shared" si="37"/>
        <v>5.109411320519288</v>
      </c>
      <c r="S155" s="30">
        <f t="shared" si="38"/>
        <v>98.05995469418576</v>
      </c>
      <c r="T155" s="28">
        <f t="shared" si="39"/>
        <v>0.010197842769952786</v>
      </c>
      <c r="U155" s="20">
        <f t="shared" si="40"/>
        <v>5.133573002744921</v>
      </c>
      <c r="V155" s="30">
        <f t="shared" si="41"/>
        <v>106.75605336018123</v>
      </c>
      <c r="W155" s="28">
        <f t="shared" si="42"/>
        <v>0.009367150325669387</v>
      </c>
      <c r="X155" s="20">
        <f t="shared" si="43"/>
        <v>5.186944554863492</v>
      </c>
      <c r="Y155" s="30">
        <f t="shared" si="44"/>
        <v>115.22330732443996</v>
      </c>
      <c r="Z155" s="28">
        <f t="shared" si="45"/>
        <v>0.008678799656255749</v>
      </c>
      <c r="AA155" s="20">
        <f t="shared" si="46"/>
        <v>5.242667801412987</v>
      </c>
      <c r="AB155" s="30">
        <f t="shared" si="47"/>
        <v>123.57613893783038</v>
      </c>
      <c r="AC155" s="28">
        <f t="shared" si="48"/>
        <v>0.008092177086897719</v>
      </c>
      <c r="AD155" s="20">
        <f t="shared" si="49"/>
        <v>5.295660816998256</v>
      </c>
      <c r="AE155" s="30">
        <f t="shared" si="50"/>
        <v>131.70012584948398</v>
      </c>
      <c r="AF155" s="28">
        <f t="shared" si="51"/>
        <v>0.007593007171024796</v>
      </c>
      <c r="AG155" s="20">
        <f t="shared" si="52"/>
        <v>5.35122579382568</v>
      </c>
      <c r="AH155" s="30">
        <f t="shared" si="53"/>
        <v>139.59526805940095</v>
      </c>
      <c r="AI155" s="28">
        <f t="shared" si="54"/>
        <v>0.0071635666015160155</v>
      </c>
      <c r="AJ155" s="20">
        <f t="shared" si="55"/>
        <v>5.409186963138194</v>
      </c>
      <c r="AK155" s="30">
        <f t="shared" si="56"/>
        <v>147.37598791844957</v>
      </c>
      <c r="AL155" s="28">
        <f t="shared" si="57"/>
        <v>0.006785365880317963</v>
      </c>
      <c r="AM155" s="20">
        <f t="shared" si="58"/>
        <v>5.465182687394282</v>
      </c>
      <c r="AN155" s="30">
        <f t="shared" si="59"/>
        <v>154.9278630757614</v>
      </c>
      <c r="AO155" s="28">
        <f t="shared" si="60"/>
        <v>0.006454616878766277</v>
      </c>
      <c r="AP155" s="20">
        <f t="shared" si="61"/>
        <v>5.523709385302125</v>
      </c>
      <c r="AQ155" s="30">
        <f t="shared" si="62"/>
        <v>162.3081047067707</v>
      </c>
      <c r="AR155" s="28">
        <f t="shared" si="63"/>
        <v>0.006161121786288007</v>
      </c>
      <c r="AS155" s="20">
        <f t="shared" si="64"/>
        <v>5.582692783950875</v>
      </c>
      <c r="AT155" s="30">
        <f t="shared" si="65"/>
        <v>169.57392398691167</v>
      </c>
      <c r="AU155" s="28">
        <f t="shared" si="66"/>
        <v>0.005897133099763521</v>
      </c>
      <c r="AV155" s="20">
        <f t="shared" si="67"/>
        <v>5.6403487991697405</v>
      </c>
      <c r="AW155" s="30">
        <f t="shared" si="68"/>
        <v>176.6108985653159</v>
      </c>
      <c r="AX155" s="28">
        <f t="shared" si="69"/>
        <v>0.005662164725526102</v>
      </c>
      <c r="AY155" s="31">
        <f t="shared" si="70"/>
        <v>5.70064407301898</v>
      </c>
      <c r="AZ155" s="2"/>
      <c r="BA155" s="19"/>
      <c r="BB155" s="3"/>
    </row>
    <row r="156" spans="1:54" ht="12.75">
      <c r="A156" s="27">
        <f t="shared" si="22"/>
        <v>3800</v>
      </c>
      <c r="B156" s="28">
        <f t="shared" si="23"/>
        <v>0.04255247974465995</v>
      </c>
      <c r="C156" s="20">
        <f t="shared" si="24"/>
        <v>23.500393067585993</v>
      </c>
      <c r="D156" s="20">
        <f t="shared" si="25"/>
        <v>4.615839541877926</v>
      </c>
      <c r="E156" s="28">
        <f t="shared" si="26"/>
        <v>0.04787084213110728</v>
      </c>
      <c r="F156" s="20">
        <f t="shared" si="27"/>
        <v>20.889542683649243</v>
      </c>
      <c r="G156" s="20">
        <f t="shared" si="28"/>
        <v>4.615906804636464</v>
      </c>
      <c r="H156" s="29"/>
      <c r="I156" s="29"/>
      <c r="J156" s="30">
        <f t="shared" si="29"/>
        <v>82.53785907193715</v>
      </c>
      <c r="K156" s="28">
        <f t="shared" si="30"/>
        <v>0.012115652274533005</v>
      </c>
      <c r="L156" s="20">
        <f t="shared" si="31"/>
        <v>5.056864440634939</v>
      </c>
      <c r="M156" s="30">
        <f t="shared" si="32"/>
        <v>86.946575006138</v>
      </c>
      <c r="N156" s="28">
        <f t="shared" si="33"/>
        <v>0.011501315605927029</v>
      </c>
      <c r="O156" s="20">
        <f t="shared" si="34"/>
        <v>5.082830368443077</v>
      </c>
      <c r="P156" s="30">
        <f t="shared" si="35"/>
        <v>91.29948440952614</v>
      </c>
      <c r="Q156" s="28">
        <f t="shared" si="36"/>
        <v>0.010952964372881612</v>
      </c>
      <c r="R156" s="20">
        <f t="shared" si="37"/>
        <v>5.109411320519288</v>
      </c>
      <c r="S156" s="30">
        <f t="shared" si="38"/>
        <v>95.65239381291433</v>
      </c>
      <c r="T156" s="28">
        <f t="shared" si="39"/>
        <v>0.010454521420090032</v>
      </c>
      <c r="U156" s="20">
        <f t="shared" si="40"/>
        <v>5.133573002744921</v>
      </c>
      <c r="V156" s="30">
        <f t="shared" si="41"/>
        <v>104.13498649643995</v>
      </c>
      <c r="W156" s="28">
        <f t="shared" si="42"/>
        <v>0.009602920532708639</v>
      </c>
      <c r="X156" s="20">
        <f t="shared" si="43"/>
        <v>5.186944554863492</v>
      </c>
      <c r="Y156" s="30">
        <f t="shared" si="44"/>
        <v>112.39435305671493</v>
      </c>
      <c r="Z156" s="28">
        <f t="shared" si="45"/>
        <v>0.00889724414798129</v>
      </c>
      <c r="AA156" s="20">
        <f t="shared" si="46"/>
        <v>5.242667801412987</v>
      </c>
      <c r="AB156" s="30">
        <f t="shared" si="47"/>
        <v>120.5421065553646</v>
      </c>
      <c r="AC156" s="28">
        <f t="shared" si="48"/>
        <v>0.00829585634908996</v>
      </c>
      <c r="AD156" s="20">
        <f t="shared" si="49"/>
        <v>5.295660816998256</v>
      </c>
      <c r="AE156" s="30">
        <f t="shared" si="50"/>
        <v>128.46663393076355</v>
      </c>
      <c r="AF156" s="28">
        <f t="shared" si="51"/>
        <v>0.007784122377947141</v>
      </c>
      <c r="AG156" s="20">
        <f t="shared" si="52"/>
        <v>5.35122579382568</v>
      </c>
      <c r="AH156" s="30">
        <f t="shared" si="53"/>
        <v>136.16793518291186</v>
      </c>
      <c r="AI156" s="28">
        <f t="shared" si="54"/>
        <v>0.007343872833620621</v>
      </c>
      <c r="AJ156" s="20">
        <f t="shared" si="55"/>
        <v>5.409186963138194</v>
      </c>
      <c r="AK156" s="30">
        <f t="shared" si="56"/>
        <v>143.75762337343482</v>
      </c>
      <c r="AL156" s="28">
        <f t="shared" si="57"/>
        <v>0.006956152839299035</v>
      </c>
      <c r="AM156" s="20">
        <f t="shared" si="58"/>
        <v>5.465182687394282</v>
      </c>
      <c r="AN156" s="30">
        <f t="shared" si="59"/>
        <v>151.1240854407071</v>
      </c>
      <c r="AO156" s="28">
        <f t="shared" si="60"/>
        <v>0.006617078919510457</v>
      </c>
      <c r="AP156" s="20">
        <f t="shared" si="61"/>
        <v>5.523709385302125</v>
      </c>
      <c r="AQ156" s="30">
        <f t="shared" si="62"/>
        <v>158.32312791554136</v>
      </c>
      <c r="AR156" s="28">
        <f t="shared" si="63"/>
        <v>0.006316196585842198</v>
      </c>
      <c r="AS156" s="20">
        <f t="shared" si="64"/>
        <v>5.582692783950875</v>
      </c>
      <c r="AT156" s="30">
        <f t="shared" si="65"/>
        <v>165.4105573287503</v>
      </c>
      <c r="AU156" s="28">
        <f t="shared" si="66"/>
        <v>0.00604556333132062</v>
      </c>
      <c r="AV156" s="20">
        <f t="shared" si="67"/>
        <v>5.6403487991697405</v>
      </c>
      <c r="AW156" s="30">
        <f t="shared" si="68"/>
        <v>172.27476061870857</v>
      </c>
      <c r="AX156" s="28">
        <f t="shared" si="69"/>
        <v>0.005804680827351577</v>
      </c>
      <c r="AY156" s="31">
        <f t="shared" si="70"/>
        <v>5.70064407301898</v>
      </c>
      <c r="AZ156" s="2"/>
      <c r="BA156" s="19"/>
      <c r="BB156" s="3"/>
    </row>
    <row r="157" spans="1:54" ht="12.75">
      <c r="A157" s="27">
        <f t="shared" si="22"/>
        <v>3900</v>
      </c>
      <c r="B157" s="28">
        <f t="shared" si="23"/>
        <v>0.04153277018931224</v>
      </c>
      <c r="C157" s="20">
        <f t="shared" si="24"/>
        <v>24.07737301032073</v>
      </c>
      <c r="D157" s="20">
        <f t="shared" si="25"/>
        <v>4.615839541877926</v>
      </c>
      <c r="E157" s="28">
        <f t="shared" si="26"/>
        <v>0.046723685597891196</v>
      </c>
      <c r="F157" s="20">
        <f t="shared" si="27"/>
        <v>21.40242121749774</v>
      </c>
      <c r="G157" s="20">
        <f t="shared" si="28"/>
        <v>4.615906804636464</v>
      </c>
      <c r="H157" s="29"/>
      <c r="I157" s="29"/>
      <c r="J157" s="30">
        <f t="shared" si="29"/>
        <v>80.55995686556435</v>
      </c>
      <c r="K157" s="28">
        <f t="shared" si="30"/>
        <v>0.012413114888688001</v>
      </c>
      <c r="L157" s="20">
        <f t="shared" si="31"/>
        <v>5.056864440634939</v>
      </c>
      <c r="M157" s="30">
        <f t="shared" si="32"/>
        <v>84.86302420321113</v>
      </c>
      <c r="N157" s="28">
        <f t="shared" si="33"/>
        <v>0.011783695070840535</v>
      </c>
      <c r="O157" s="20">
        <f t="shared" si="34"/>
        <v>5.082830368443077</v>
      </c>
      <c r="P157" s="30">
        <f t="shared" si="35"/>
        <v>89.11162233405224</v>
      </c>
      <c r="Q157" s="28">
        <f t="shared" si="36"/>
        <v>0.0112218807581721</v>
      </c>
      <c r="R157" s="20">
        <f t="shared" si="37"/>
        <v>5.109411320519288</v>
      </c>
      <c r="S157" s="30">
        <f t="shared" si="38"/>
        <v>93.36022046489337</v>
      </c>
      <c r="T157" s="28">
        <f t="shared" si="39"/>
        <v>0.010711200070227278</v>
      </c>
      <c r="U157" s="20">
        <f t="shared" si="40"/>
        <v>5.133573002744921</v>
      </c>
      <c r="V157" s="30">
        <f t="shared" si="41"/>
        <v>101.63953989935298</v>
      </c>
      <c r="W157" s="28">
        <f t="shared" si="42"/>
        <v>0.009838690739747887</v>
      </c>
      <c r="X157" s="20">
        <f t="shared" si="43"/>
        <v>5.186944554863492</v>
      </c>
      <c r="Y157" s="30">
        <f t="shared" si="44"/>
        <v>109.70098250658997</v>
      </c>
      <c r="Z157" s="28">
        <f t="shared" si="45"/>
        <v>0.009115688639706831</v>
      </c>
      <c r="AA157" s="20">
        <f t="shared" si="46"/>
        <v>5.242667801412987</v>
      </c>
      <c r="AB157" s="30">
        <f t="shared" si="47"/>
        <v>117.65348670021568</v>
      </c>
      <c r="AC157" s="28">
        <f t="shared" si="48"/>
        <v>0.008499535611282201</v>
      </c>
      <c r="AD157" s="20">
        <f t="shared" si="49"/>
        <v>5.295660816998256</v>
      </c>
      <c r="AE157" s="30">
        <f t="shared" si="50"/>
        <v>125.38811406661871</v>
      </c>
      <c r="AF157" s="28">
        <f t="shared" si="51"/>
        <v>0.007975237584869488</v>
      </c>
      <c r="AG157" s="20">
        <f t="shared" si="52"/>
        <v>5.35122579382568</v>
      </c>
      <c r="AH157" s="30">
        <f t="shared" si="53"/>
        <v>132.9048646057992</v>
      </c>
      <c r="AI157" s="28">
        <f t="shared" si="54"/>
        <v>0.007524179065725228</v>
      </c>
      <c r="AJ157" s="20">
        <f t="shared" si="55"/>
        <v>5.409186963138194</v>
      </c>
      <c r="AK157" s="30">
        <f t="shared" si="56"/>
        <v>140.31267673136836</v>
      </c>
      <c r="AL157" s="28">
        <f t="shared" si="57"/>
        <v>0.007126939798280106</v>
      </c>
      <c r="AM157" s="20">
        <f t="shared" si="58"/>
        <v>5.465182687394282</v>
      </c>
      <c r="AN157" s="30">
        <f t="shared" si="59"/>
        <v>147.5026120297148</v>
      </c>
      <c r="AO157" s="28">
        <f t="shared" si="60"/>
        <v>0.006779540960254638</v>
      </c>
      <c r="AP157" s="20">
        <f t="shared" si="61"/>
        <v>5.523709385302125</v>
      </c>
      <c r="AQ157" s="30">
        <f t="shared" si="62"/>
        <v>154.5291397076444</v>
      </c>
      <c r="AR157" s="28">
        <f t="shared" si="63"/>
        <v>0.006471271385396389</v>
      </c>
      <c r="AS157" s="20">
        <f t="shared" si="64"/>
        <v>5.582692783950875</v>
      </c>
      <c r="AT157" s="30">
        <f t="shared" si="65"/>
        <v>161.4467289719626</v>
      </c>
      <c r="AU157" s="28">
        <f t="shared" si="66"/>
        <v>0.006193993562877718</v>
      </c>
      <c r="AV157" s="20">
        <f t="shared" si="67"/>
        <v>5.6403487991697405</v>
      </c>
      <c r="AW157" s="30">
        <f t="shared" si="68"/>
        <v>168.1464414090582</v>
      </c>
      <c r="AX157" s="28">
        <f t="shared" si="69"/>
        <v>0.005947196929177051</v>
      </c>
      <c r="AY157" s="31">
        <f t="shared" si="70"/>
        <v>5.70064407301898</v>
      </c>
      <c r="AZ157" s="2"/>
      <c r="BA157" s="19"/>
      <c r="BB157" s="3"/>
    </row>
    <row r="158" spans="1:54" ht="13.5" thickBot="1">
      <c r="A158" s="32">
        <f t="shared" si="22"/>
        <v>4000</v>
      </c>
      <c r="B158" s="33">
        <f t="shared" si="23"/>
        <v>0.04056078867306342</v>
      </c>
      <c r="C158" s="14">
        <f t="shared" si="24"/>
        <v>24.654352953055472</v>
      </c>
      <c r="D158" s="14">
        <f t="shared" si="25"/>
        <v>4.615839541877926</v>
      </c>
      <c r="E158" s="33">
        <f t="shared" si="26"/>
        <v>0.04563022232623448</v>
      </c>
      <c r="F158" s="14">
        <f t="shared" si="27"/>
        <v>21.915299751346236</v>
      </c>
      <c r="G158" s="14">
        <f t="shared" si="28"/>
        <v>4.615906804636464</v>
      </c>
      <c r="H158" s="16"/>
      <c r="I158" s="16"/>
      <c r="J158" s="34">
        <f t="shared" si="29"/>
        <v>78.67463140650598</v>
      </c>
      <c r="K158" s="33">
        <f t="shared" si="30"/>
        <v>0.012710577502842997</v>
      </c>
      <c r="L158" s="14">
        <f t="shared" si="31"/>
        <v>5.056864440634939</v>
      </c>
      <c r="M158" s="34">
        <f t="shared" si="32"/>
        <v>82.8769950854201</v>
      </c>
      <c r="N158" s="33">
        <f t="shared" si="33"/>
        <v>0.012066074535754038</v>
      </c>
      <c r="O158" s="14">
        <f t="shared" si="34"/>
        <v>5.082830368443077</v>
      </c>
      <c r="P158" s="34">
        <f t="shared" si="35"/>
        <v>87.02616428738591</v>
      </c>
      <c r="Q158" s="33">
        <f t="shared" si="36"/>
        <v>0.01149079714346259</v>
      </c>
      <c r="R158" s="14">
        <f t="shared" si="37"/>
        <v>5.109411320519288</v>
      </c>
      <c r="S158" s="34">
        <f t="shared" si="38"/>
        <v>91.17533348935176</v>
      </c>
      <c r="T158" s="33">
        <f t="shared" si="39"/>
        <v>0.010967878720364524</v>
      </c>
      <c r="U158" s="14">
        <f t="shared" si="40"/>
        <v>5.133573002744921</v>
      </c>
      <c r="V158" s="34">
        <f t="shared" si="41"/>
        <v>99.2608939854903</v>
      </c>
      <c r="W158" s="33">
        <f t="shared" si="42"/>
        <v>0.010074460946787135</v>
      </c>
      <c r="X158" s="14">
        <f t="shared" si="43"/>
        <v>5.186944554863492</v>
      </c>
      <c r="Y158" s="34">
        <f t="shared" si="44"/>
        <v>107.1336765738357</v>
      </c>
      <c r="Z158" s="33">
        <f t="shared" si="45"/>
        <v>0.009334133131432372</v>
      </c>
      <c r="AA158" s="14">
        <f t="shared" si="46"/>
        <v>5.242667801412987</v>
      </c>
      <c r="AB158" s="34">
        <f t="shared" si="47"/>
        <v>114.90007020828457</v>
      </c>
      <c r="AC158" s="33">
        <f t="shared" si="48"/>
        <v>0.008703214873474443</v>
      </c>
      <c r="AD158" s="14">
        <f t="shared" si="49"/>
        <v>5.295660816998256</v>
      </c>
      <c r="AE158" s="34">
        <f t="shared" si="50"/>
        <v>122.4536859349403</v>
      </c>
      <c r="AF158" s="33">
        <f t="shared" si="51"/>
        <v>0.008166352791791833</v>
      </c>
      <c r="AG158" s="14">
        <f t="shared" si="52"/>
        <v>5.35122579382568</v>
      </c>
      <c r="AH158" s="34">
        <f t="shared" si="53"/>
        <v>129.79452375380293</v>
      </c>
      <c r="AI158" s="33">
        <f t="shared" si="54"/>
        <v>0.007704485297829834</v>
      </c>
      <c r="AJ158" s="14">
        <f t="shared" si="55"/>
        <v>5.409186963138194</v>
      </c>
      <c r="AK158" s="34">
        <f t="shared" si="56"/>
        <v>137.02897261876905</v>
      </c>
      <c r="AL158" s="33">
        <f t="shared" si="57"/>
        <v>0.007297726757261177</v>
      </c>
      <c r="AM158" s="14">
        <f t="shared" si="58"/>
        <v>5.465182687394282</v>
      </c>
      <c r="AN158" s="34">
        <f t="shared" si="59"/>
        <v>144.05064357594193</v>
      </c>
      <c r="AO158" s="33">
        <f t="shared" si="60"/>
        <v>0.006942003000998818</v>
      </c>
      <c r="AP158" s="14">
        <f t="shared" si="61"/>
        <v>5.523709385302125</v>
      </c>
      <c r="AQ158" s="34">
        <f t="shared" si="62"/>
        <v>150.91273110227007</v>
      </c>
      <c r="AR158" s="33">
        <f t="shared" si="63"/>
        <v>0.00662634618495058</v>
      </c>
      <c r="AS158" s="14">
        <f t="shared" si="64"/>
        <v>5.582692783950875</v>
      </c>
      <c r="AT158" s="34">
        <f t="shared" si="65"/>
        <v>157.6684296747016</v>
      </c>
      <c r="AU158" s="33">
        <f t="shared" si="66"/>
        <v>0.006342423794434816</v>
      </c>
      <c r="AV158" s="14">
        <f t="shared" si="67"/>
        <v>5.6403487991697405</v>
      </c>
      <c r="AW158" s="34">
        <f t="shared" si="68"/>
        <v>164.21135033934004</v>
      </c>
      <c r="AX158" s="33">
        <f t="shared" si="69"/>
        <v>0.006089713031002525</v>
      </c>
      <c r="AY158" s="35">
        <f t="shared" si="70"/>
        <v>5.70064407301898</v>
      </c>
      <c r="AZ158" s="2"/>
      <c r="BA158" s="19"/>
      <c r="BB158" s="3"/>
    </row>
  </sheetData>
  <hyperlinks>
    <hyperlink ref="A9" r:id="rId1" tooltip="Standard enthalpy change of formation" display="http://en.wikipedia.org/wiki/Standard_enthalpy_change_of_formation"/>
    <hyperlink ref="A12" r:id="rId2" tooltip="Standard molar entropy" display="http://en.wikipedia.org/wiki/Standard_molar_entropy"/>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N638"/>
  <sheetViews>
    <sheetView tabSelected="1" workbookViewId="0" topLeftCell="A11">
      <pane ySplit="1020" topLeftCell="BM4" activePane="bottomLeft" state="split"/>
      <selection pane="topLeft" activeCell="AN11" sqref="AN11"/>
      <selection pane="bottomLeft" activeCell="A14" sqref="A14:A383"/>
    </sheetView>
  </sheetViews>
  <sheetFormatPr defaultColWidth="9.140625" defaultRowHeight="12.75"/>
  <cols>
    <col min="3" max="3" width="12.7109375" style="0" customWidth="1"/>
    <col min="4" max="4" width="11.28125" style="0" customWidth="1"/>
    <col min="8" max="8" width="10.57421875" style="0" bestFit="1" customWidth="1"/>
    <col min="12" max="12" width="10.00390625" style="0" bestFit="1" customWidth="1"/>
    <col min="17" max="17" width="8.7109375" style="0" customWidth="1"/>
    <col min="18" max="18" width="12.7109375" style="0" customWidth="1"/>
    <col min="19" max="19" width="6.7109375" style="0" customWidth="1"/>
    <col min="24" max="24" width="9.7109375" style="0" customWidth="1"/>
    <col min="25" max="25" width="15.7109375" style="0" customWidth="1"/>
    <col min="26" max="26" width="16.7109375" style="0" customWidth="1"/>
    <col min="29" max="29" width="11.7109375" style="0" bestFit="1" customWidth="1"/>
    <col min="30" max="30" width="10.7109375" style="0" customWidth="1"/>
    <col min="31" max="31" width="9.28125" style="0" customWidth="1"/>
    <col min="32" max="32" width="3.7109375" style="0" customWidth="1"/>
    <col min="33" max="37" width="20.7109375" style="0" customWidth="1"/>
    <col min="38" max="38" width="15.7109375" style="0" customWidth="1"/>
  </cols>
  <sheetData>
    <row r="1" spans="38:40" ht="12.75">
      <c r="AL1" t="s">
        <v>157</v>
      </c>
      <c r="AN1">
        <v>20</v>
      </c>
    </row>
    <row r="2" spans="1:38" ht="12.75">
      <c r="A2" t="s">
        <v>89</v>
      </c>
      <c r="AH2" t="s">
        <v>162</v>
      </c>
      <c r="AL2" t="s">
        <v>158</v>
      </c>
    </row>
    <row r="3" spans="5:38" ht="12.75">
      <c r="E3" t="s">
        <v>100</v>
      </c>
      <c r="F3">
        <v>1.3</v>
      </c>
      <c r="H3" t="s">
        <v>102</v>
      </c>
      <c r="I3">
        <f>+'Material Properties'!H135</f>
        <v>0.09530999999999999</v>
      </c>
      <c r="J3" t="s">
        <v>111</v>
      </c>
      <c r="N3" t="s">
        <v>110</v>
      </c>
      <c r="O3">
        <f>+'Material Properties'!AE35</f>
        <v>1.166063250547939</v>
      </c>
      <c r="P3" t="s">
        <v>111</v>
      </c>
      <c r="Q3" t="s">
        <v>112</v>
      </c>
      <c r="T3">
        <f>+(I3-O3)/2</f>
        <v>-0.5353766252739695</v>
      </c>
      <c r="AH3" t="s">
        <v>163</v>
      </c>
      <c r="AL3" t="s">
        <v>159</v>
      </c>
    </row>
    <row r="4" spans="3:38" ht="12.75">
      <c r="C4" t="s">
        <v>103</v>
      </c>
      <c r="H4" t="s">
        <v>106</v>
      </c>
      <c r="Q4" t="s">
        <v>113</v>
      </c>
      <c r="AL4" t="s">
        <v>160</v>
      </c>
    </row>
    <row r="5" spans="1:38" ht="12.75">
      <c r="A5" t="s">
        <v>105</v>
      </c>
      <c r="C5" t="s">
        <v>108</v>
      </c>
      <c r="D5" t="s">
        <v>104</v>
      </c>
      <c r="E5" t="s">
        <v>98</v>
      </c>
      <c r="H5" t="s">
        <v>105</v>
      </c>
      <c r="I5" t="s">
        <v>109</v>
      </c>
      <c r="J5" t="s">
        <v>104</v>
      </c>
      <c r="N5" t="s">
        <v>105</v>
      </c>
      <c r="O5" t="s">
        <v>109</v>
      </c>
      <c r="P5" t="s">
        <v>104</v>
      </c>
      <c r="Q5" t="s">
        <v>105</v>
      </c>
      <c r="T5" t="s">
        <v>109</v>
      </c>
      <c r="U5" t="s">
        <v>104</v>
      </c>
      <c r="AH5" t="s">
        <v>164</v>
      </c>
      <c r="AL5" t="s">
        <v>161</v>
      </c>
    </row>
    <row r="6" spans="1:34" ht="12.75">
      <c r="A6" t="s">
        <v>101</v>
      </c>
      <c r="D6" t="s">
        <v>101</v>
      </c>
      <c r="F6" t="s">
        <v>99</v>
      </c>
      <c r="H6" t="s">
        <v>10</v>
      </c>
      <c r="J6" t="s">
        <v>10</v>
      </c>
      <c r="N6" t="s">
        <v>107</v>
      </c>
      <c r="P6" t="s">
        <v>107</v>
      </c>
      <c r="Q6" t="s">
        <v>114</v>
      </c>
      <c r="T6" t="s">
        <v>114</v>
      </c>
      <c r="U6" t="s">
        <v>114</v>
      </c>
      <c r="AH6" t="s">
        <v>165</v>
      </c>
    </row>
    <row r="7" spans="1:21" ht="12.75">
      <c r="A7">
        <f>316.2*E7</f>
        <v>369.3310754748559</v>
      </c>
      <c r="C7">
        <f>(+D7+A7)/2</f>
        <v>237.4606886439932</v>
      </c>
      <c r="D7">
        <f>+G7*316.2</f>
        <v>105.59030181313054</v>
      </c>
      <c r="E7">
        <f>SQRT(F3*F7*O3)</f>
        <v>1.1680299667136493</v>
      </c>
      <c r="F7">
        <v>0.9</v>
      </c>
      <c r="G7">
        <f>SQRT(F3*F7*I3)</f>
        <v>0.33393517334955897</v>
      </c>
      <c r="H7" s="36">
        <f>+A7^2/(2*9.82)</f>
        <v>6945.287337648355</v>
      </c>
      <c r="I7" s="36">
        <f>+C7^2/(2*9.82)</f>
        <v>2871.057976134393</v>
      </c>
      <c r="J7" s="36">
        <f>+D7^2/(2*9.82)</f>
        <v>567.6839020869652</v>
      </c>
      <c r="K7" t="s">
        <v>200</v>
      </c>
      <c r="L7" s="36">
        <f>+'Volcano Summary'!B21+0.9</f>
        <v>3978</v>
      </c>
      <c r="M7" s="36"/>
      <c r="N7" s="1">
        <f>+H7/0.3048</f>
        <v>22786.3757796862</v>
      </c>
      <c r="O7" s="1">
        <f>+I7/0.3048</f>
        <v>9419.481548997352</v>
      </c>
      <c r="P7" s="1">
        <f>+J7/0.3048</f>
        <v>1862.479993723639</v>
      </c>
      <c r="Q7" s="3">
        <f>+A7/9.82</f>
        <v>37.61008915222565</v>
      </c>
      <c r="R7" s="3"/>
      <c r="S7" s="3"/>
      <c r="T7" s="3">
        <f>+C7/9.82</f>
        <v>24.181332855803788</v>
      </c>
      <c r="U7" s="3">
        <f>+D7/9.82</f>
        <v>10.752576559381929</v>
      </c>
    </row>
    <row r="8" spans="7:21" ht="12.75">
      <c r="G8" s="36"/>
      <c r="H8" s="36"/>
      <c r="I8" s="36"/>
      <c r="J8" s="36"/>
      <c r="K8" t="s">
        <v>205</v>
      </c>
      <c r="L8" s="36">
        <f>+'Volcano Summary'!B21</f>
        <v>3977.1</v>
      </c>
      <c r="M8" s="36"/>
      <c r="N8" s="1"/>
      <c r="O8" s="1"/>
      <c r="P8" s="1"/>
      <c r="Q8" s="3"/>
      <c r="R8" s="3"/>
      <c r="S8" s="3"/>
      <c r="T8" s="3"/>
      <c r="U8" s="3"/>
    </row>
    <row r="9" spans="4:16" ht="12.75">
      <c r="D9" t="s">
        <v>116</v>
      </c>
      <c r="K9" t="s">
        <v>211</v>
      </c>
      <c r="L9" s="36">
        <f>+'Volcano Summary'!E21</f>
        <v>2397.920656993955</v>
      </c>
      <c r="N9" t="s">
        <v>210</v>
      </c>
      <c r="P9">
        <f>+'Material Properties'!AB35</f>
        <v>0.0006142822097569149</v>
      </c>
    </row>
    <row r="10" spans="4:36" ht="12.75">
      <c r="D10" t="s">
        <v>117</v>
      </c>
      <c r="E10" t="s">
        <v>118</v>
      </c>
      <c r="F10">
        <v>0.03</v>
      </c>
      <c r="L10" s="36">
        <f>+L7-L9</f>
        <v>1580.0793430060448</v>
      </c>
      <c r="N10" t="s">
        <v>206</v>
      </c>
      <c r="O10" t="s">
        <v>208</v>
      </c>
      <c r="T10" s="5" t="s">
        <v>127</v>
      </c>
      <c r="U10" t="s">
        <v>129</v>
      </c>
      <c r="V10" t="s">
        <v>128</v>
      </c>
      <c r="W10" t="s">
        <v>130</v>
      </c>
      <c r="X10" t="s">
        <v>131</v>
      </c>
      <c r="Y10" t="s">
        <v>133</v>
      </c>
      <c r="Z10" t="s">
        <v>135</v>
      </c>
      <c r="AA10" t="s">
        <v>138</v>
      </c>
      <c r="AC10" t="s">
        <v>150</v>
      </c>
      <c r="AG10" t="s">
        <v>143</v>
      </c>
      <c r="AJ10" t="s">
        <v>149</v>
      </c>
    </row>
    <row r="11" spans="1:38" ht="12.75">
      <c r="A11" t="s">
        <v>90</v>
      </c>
      <c r="B11" t="s">
        <v>154</v>
      </c>
      <c r="C11" t="s">
        <v>115</v>
      </c>
      <c r="D11" t="s">
        <v>155</v>
      </c>
      <c r="E11" t="s">
        <v>11</v>
      </c>
      <c r="F11">
        <f>1/O3</f>
        <v>0.8575864126839561</v>
      </c>
      <c r="I11" t="s">
        <v>61</v>
      </c>
      <c r="J11" t="s">
        <v>147</v>
      </c>
      <c r="K11" t="s">
        <v>204</v>
      </c>
      <c r="L11" t="s">
        <v>204</v>
      </c>
      <c r="O11" t="s">
        <v>209</v>
      </c>
      <c r="Y11" t="s">
        <v>134</v>
      </c>
      <c r="Z11" t="s">
        <v>136</v>
      </c>
      <c r="AA11" t="s">
        <v>139</v>
      </c>
      <c r="AL11" s="4" t="s">
        <v>213</v>
      </c>
    </row>
    <row r="12" spans="4:38" ht="12.75">
      <c r="D12">
        <f>2*SQRT(C12/PI())</f>
        <v>0</v>
      </c>
      <c r="F12" t="s">
        <v>156</v>
      </c>
      <c r="H12" t="s">
        <v>148</v>
      </c>
      <c r="J12" t="s">
        <v>122</v>
      </c>
      <c r="K12" t="s">
        <v>201</v>
      </c>
      <c r="L12" t="s">
        <v>203</v>
      </c>
      <c r="M12" s="54" t="s">
        <v>202</v>
      </c>
      <c r="N12" t="s">
        <v>207</v>
      </c>
      <c r="Q12" t="s">
        <v>126</v>
      </c>
      <c r="R12" t="s">
        <v>214</v>
      </c>
      <c r="T12" s="3">
        <v>0.1</v>
      </c>
      <c r="X12" t="s">
        <v>132</v>
      </c>
      <c r="Z12" t="s">
        <v>137</v>
      </c>
      <c r="AA12">
        <v>0.1</v>
      </c>
      <c r="AB12" t="s">
        <v>140</v>
      </c>
      <c r="AC12" t="s">
        <v>151</v>
      </c>
      <c r="AD12" t="s">
        <v>152</v>
      </c>
      <c r="AE12" t="s">
        <v>153</v>
      </c>
      <c r="AG12" t="s">
        <v>144</v>
      </c>
      <c r="AH12" t="s">
        <v>145</v>
      </c>
      <c r="AI12" t="s">
        <v>146</v>
      </c>
      <c r="AL12" t="s">
        <v>212</v>
      </c>
    </row>
    <row r="13" spans="3:28" ht="12.75">
      <c r="C13" t="s">
        <v>7</v>
      </c>
      <c r="D13" t="s">
        <v>10</v>
      </c>
      <c r="E13" t="s">
        <v>119</v>
      </c>
      <c r="F13" t="s">
        <v>120</v>
      </c>
      <c r="G13" t="s">
        <v>121</v>
      </c>
      <c r="H13">
        <v>500</v>
      </c>
      <c r="J13">
        <v>50000</v>
      </c>
      <c r="Q13" t="s">
        <v>123</v>
      </c>
      <c r="R13" t="s">
        <v>215</v>
      </c>
      <c r="S13" t="s">
        <v>101</v>
      </c>
      <c r="AA13" t="s">
        <v>141</v>
      </c>
      <c r="AB13" t="s">
        <v>142</v>
      </c>
    </row>
    <row r="14" spans="1:39" ht="12.75" hidden="1">
      <c r="A14">
        <v>0</v>
      </c>
      <c r="C14" s="3">
        <f>+'Volcano Summary'!B25</f>
        <v>78.53981633974483</v>
      </c>
      <c r="D14" s="12">
        <f>2*SQRT(C14/PI())</f>
        <v>10</v>
      </c>
      <c r="E14" s="38">
        <f aca="true" t="shared" si="0" ref="E14:E77">+$D14*1000*A$7*$F$11/$F$10</f>
        <v>105577770.70306303</v>
      </c>
      <c r="F14" s="38">
        <f aca="true" t="shared" si="1" ref="F14:F77">+$D14*1000*C$7*$F$11/$F$10</f>
        <v>67881020.04255466</v>
      </c>
      <c r="G14" s="38">
        <f aca="true" t="shared" si="2" ref="G14:G77">+$D14*1000*D$7*$F$11/$F$10</f>
        <v>30184269.382046286</v>
      </c>
      <c r="H14" s="18">
        <f>+(H$13/1000)/D14</f>
        <v>0.05</v>
      </c>
      <c r="I14">
        <v>0.07</v>
      </c>
      <c r="J14" s="3">
        <f>+J$13*I14/D14+1.5</f>
        <v>351.50000000000006</v>
      </c>
      <c r="K14" s="12">
        <v>0.926</v>
      </c>
      <c r="L14" s="3">
        <f>+L$10*K14</f>
        <v>1463.1534716235976</v>
      </c>
      <c r="M14" s="12">
        <v>0.718</v>
      </c>
      <c r="N14" s="37">
        <f>1.111*10^-6*(D14*1000)^2</f>
        <v>111.10000000000001</v>
      </c>
      <c r="O14" s="1">
        <f aca="true" t="shared" si="3" ref="O14:O77">+L14/J14/P$9</f>
        <v>6776.362256913959</v>
      </c>
      <c r="P14">
        <f>+SQRT(O14)</f>
        <v>82.31866287127093</v>
      </c>
      <c r="Q14" s="1">
        <f>+P14*N14/1000</f>
        <v>9.145603444998201</v>
      </c>
      <c r="R14" s="1">
        <f>+Q14*1000/'Material Properties'!AE$35</f>
        <v>7843.145250226038</v>
      </c>
      <c r="S14" s="1">
        <f>+R14/C14</f>
        <v>99.86202687689554</v>
      </c>
      <c r="T14" s="1">
        <f>+L14-L14*K14</f>
        <v>108.27335690014615</v>
      </c>
      <c r="U14">
        <f aca="true" t="shared" si="4" ref="U14:U77">+I$3*0.1*0.9/(T14+0.9)</f>
        <v>7.857136799270222E-05</v>
      </c>
      <c r="V14">
        <f>+'Material Properties'!AE$31+'Material Properties'!AE$33</f>
        <v>0.00029034311030761144</v>
      </c>
      <c r="W14">
        <f aca="true" t="shared" si="5" ref="W14:W25">+V14+U14</f>
        <v>0.00036891447830031366</v>
      </c>
      <c r="X14" s="1">
        <f>+'Volcano Summary'!E$12*10^9/Q14/3600/24/365</f>
        <v>0</v>
      </c>
      <c r="Y14" s="3">
        <f aca="true" t="shared" si="6" ref="Y14:Y40">+C15-C14</f>
        <v>1.4601836602551685</v>
      </c>
      <c r="Z14" s="1">
        <f>+Y14*'Volcano Summary'!B$19*'Volcano Summary'!B$20/1000</f>
        <v>59137.438240334326</v>
      </c>
      <c r="AA14" s="1">
        <f aca="true" t="shared" si="7" ref="AA14:AA77">Z14/(AA$12/100*Q14)</f>
        <v>6466215.0065862555</v>
      </c>
      <c r="AB14" s="3">
        <f aca="true" t="shared" si="8" ref="AB14:AB25">+AA14/3600</f>
        <v>1796.1708351628488</v>
      </c>
      <c r="AC14" s="1">
        <f aca="true" t="shared" si="9" ref="AC14:AC26">+AC13+AA14</f>
        <v>6466215.0065862555</v>
      </c>
      <c r="AD14" s="36">
        <f aca="true" t="shared" si="10" ref="AD14:AD26">+AD13+AB14</f>
        <v>1796.1708351628488</v>
      </c>
      <c r="AE14" s="36">
        <f>+AD14/24</f>
        <v>74.8404514651187</v>
      </c>
      <c r="AG14" s="1">
        <f aca="true" t="shared" si="11" ref="AG14:AG77">+AA14*Q14</f>
        <v>59137438.240334325</v>
      </c>
      <c r="AH14" s="1">
        <f aca="true" t="shared" si="12" ref="AH14:AH25">+Z14</f>
        <v>59137.438240334326</v>
      </c>
      <c r="AI14" s="1">
        <f aca="true" t="shared" si="13" ref="AI14:AI25">+AH14+AG14</f>
        <v>59196575.67857466</v>
      </c>
      <c r="AJ14" s="1">
        <f aca="true" t="shared" si="14" ref="AJ14:AJ25">+AJ13+AG14</f>
        <v>59137438.240334325</v>
      </c>
      <c r="AK14" s="1">
        <f aca="true" t="shared" si="15" ref="AK14:AK25">+AK13+AI14</f>
        <v>59196575.67857466</v>
      </c>
      <c r="AL14" s="39">
        <f>+AJ14/('Volcano Summary'!C$8)*10^6</f>
        <v>4.105491161693121</v>
      </c>
      <c r="AM14" s="1">
        <f aca="true" t="shared" si="16" ref="AM14:AM77">+B14</f>
        <v>0</v>
      </c>
    </row>
    <row r="15" spans="1:39" ht="12.75" hidden="1">
      <c r="A15" s="1">
        <f aca="true" t="shared" si="17" ref="A15:A26">+AA14</f>
        <v>6466215.0065862555</v>
      </c>
      <c r="B15" s="1">
        <f aca="true" t="shared" si="18" ref="B15:B26">+AE15</f>
        <v>174.86431519389905</v>
      </c>
      <c r="C15" s="1">
        <v>80</v>
      </c>
      <c r="D15" s="12">
        <f aca="true" t="shared" si="19" ref="D15:D78">2*SQRT(C15/PI())</f>
        <v>10.092530088080641</v>
      </c>
      <c r="E15" s="38">
        <f t="shared" si="0"/>
        <v>106554682.74531426</v>
      </c>
      <c r="F15" s="38">
        <f t="shared" si="1"/>
        <v>68509123.71890879</v>
      </c>
      <c r="G15" s="38">
        <f t="shared" si="2"/>
        <v>30463564.692503333</v>
      </c>
      <c r="H15" s="18">
        <f aca="true" t="shared" si="20" ref="H15:H78">+(H$13/1000)/D15</f>
        <v>0.049541591220075135</v>
      </c>
      <c r="I15" s="50">
        <f>+I$14*LN(H$14)/LN(H15)</f>
        <v>0.06978544272047313</v>
      </c>
      <c r="J15" s="3">
        <f aca="true" t="shared" si="21" ref="J15:J78">+J$13*I15/D15+1.5</f>
        <v>347.2281876369648</v>
      </c>
      <c r="K15" s="12">
        <v>0.926</v>
      </c>
      <c r="L15" s="3">
        <f aca="true" t="shared" si="22" ref="L15:L78">+L$10*K15</f>
        <v>1463.1534716235976</v>
      </c>
      <c r="M15" s="12">
        <v>0.718</v>
      </c>
      <c r="N15" s="37">
        <f aca="true" t="shared" si="23" ref="N15:N78">1.111*10^-6*(D15*1000)^2</f>
        <v>113.16553073606129</v>
      </c>
      <c r="O15" s="1">
        <f t="shared" si="3"/>
        <v>6859.729187065827</v>
      </c>
      <c r="P15">
        <f aca="true" t="shared" si="24" ref="P15:P78">+SQRT(O15)</f>
        <v>82.82348209937703</v>
      </c>
      <c r="Q15" s="1">
        <f aca="true" t="shared" si="25" ref="Q15:Q78">+P15*N15/1000</f>
        <v>9.372763309184673</v>
      </c>
      <c r="R15" s="1">
        <f>+Q15*1000/'Material Properties'!AE$35</f>
        <v>8037.954463259489</v>
      </c>
      <c r="S15" s="1">
        <f aca="true" t="shared" si="26" ref="S15:S78">+R15/C15</f>
        <v>100.47443079074361</v>
      </c>
      <c r="T15" s="1">
        <f aca="true" t="shared" si="27" ref="T15:T78">+L15-L15*K15</f>
        <v>108.27335690014615</v>
      </c>
      <c r="U15">
        <f t="shared" si="4"/>
        <v>7.857136799270222E-05</v>
      </c>
      <c r="V15">
        <f>+'Material Properties'!AE$31+'Material Properties'!AE$33</f>
        <v>0.00029034311030761144</v>
      </c>
      <c r="W15">
        <f t="shared" si="5"/>
        <v>0.00036891447830031366</v>
      </c>
      <c r="X15" s="1">
        <f>+'Volcano Summary'!E$12*10^9/Q15/3600/24/365</f>
        <v>0</v>
      </c>
      <c r="Y15" s="3">
        <f t="shared" si="6"/>
        <v>2</v>
      </c>
      <c r="Z15" s="1">
        <f>+Y15*'Volcano Summary'!B$19*'Volcano Summary'!B$20/1000</f>
        <v>81000</v>
      </c>
      <c r="AA15" s="1">
        <f t="shared" si="7"/>
        <v>8642061.82616662</v>
      </c>
      <c r="AB15" s="3">
        <f t="shared" si="8"/>
        <v>2400.572729490728</v>
      </c>
      <c r="AC15" s="1">
        <f t="shared" si="9"/>
        <v>15108276.832752876</v>
      </c>
      <c r="AD15" s="36">
        <f t="shared" si="10"/>
        <v>4196.743564653577</v>
      </c>
      <c r="AE15" s="36">
        <f aca="true" t="shared" si="28" ref="AE15:AE164">+AD15/24</f>
        <v>174.86431519389905</v>
      </c>
      <c r="AG15" s="1">
        <f t="shared" si="11"/>
        <v>81000000</v>
      </c>
      <c r="AH15" s="1">
        <f t="shared" si="12"/>
        <v>81000</v>
      </c>
      <c r="AI15" s="1">
        <f t="shared" si="13"/>
        <v>81081000</v>
      </c>
      <c r="AJ15" s="1">
        <f t="shared" si="14"/>
        <v>140137438.24033433</v>
      </c>
      <c r="AK15" s="1">
        <f t="shared" si="15"/>
        <v>140277575.67857465</v>
      </c>
      <c r="AL15" s="39">
        <f>+AJ15/('Volcano Summary'!C$8)*10^6</f>
        <v>9.728744281750199</v>
      </c>
      <c r="AM15" s="1">
        <f t="shared" si="16"/>
        <v>174.86431519389905</v>
      </c>
    </row>
    <row r="16" spans="1:39" ht="12.75" hidden="1">
      <c r="A16" s="1">
        <f t="shared" si="17"/>
        <v>8642061.82616662</v>
      </c>
      <c r="B16" s="1">
        <f t="shared" si="18"/>
        <v>271.65286703500857</v>
      </c>
      <c r="C16" s="1">
        <f aca="true" t="shared" si="29" ref="C16:C25">+C15+2</f>
        <v>82</v>
      </c>
      <c r="D16" s="12">
        <f t="shared" si="19"/>
        <v>10.217907939900583</v>
      </c>
      <c r="E16" s="38">
        <f t="shared" si="0"/>
        <v>107878394.1543831</v>
      </c>
      <c r="F16" s="38">
        <f t="shared" si="1"/>
        <v>69360201.36613698</v>
      </c>
      <c r="G16" s="38">
        <f t="shared" si="2"/>
        <v>30842008.577890877</v>
      </c>
      <c r="H16" s="18">
        <f t="shared" si="20"/>
        <v>0.04893369591318366</v>
      </c>
      <c r="I16" s="50">
        <f aca="true" t="shared" si="30" ref="I16:I35">+I$14*LN(H$14)/LN(H16)</f>
        <v>0.0694998908761426</v>
      </c>
      <c r="J16" s="3">
        <f t="shared" si="21"/>
        <v>341.58865261326093</v>
      </c>
      <c r="K16" s="12">
        <v>0.926</v>
      </c>
      <c r="L16" s="3">
        <f t="shared" si="22"/>
        <v>1463.1534716235976</v>
      </c>
      <c r="M16" s="12">
        <v>0.718</v>
      </c>
      <c r="N16" s="37">
        <f t="shared" si="23"/>
        <v>115.99466900446282</v>
      </c>
      <c r="O16" s="1">
        <f t="shared" si="3"/>
        <v>6972.981435662564</v>
      </c>
      <c r="P16">
        <f t="shared" si="24"/>
        <v>83.50437973940387</v>
      </c>
      <c r="Q16" s="1">
        <f t="shared" si="25"/>
        <v>9.686062888295124</v>
      </c>
      <c r="R16" s="1">
        <f>+Q16*1000/'Material Properties'!AE$35</f>
        <v>8306.635925404215</v>
      </c>
      <c r="S16" s="1">
        <f t="shared" si="26"/>
        <v>101.30043811468555</v>
      </c>
      <c r="T16" s="1">
        <f t="shared" si="27"/>
        <v>108.27335690014615</v>
      </c>
      <c r="U16">
        <f t="shared" si="4"/>
        <v>7.857136799270222E-05</v>
      </c>
      <c r="V16">
        <f>+'Material Properties'!AE$31+'Material Properties'!AE$33</f>
        <v>0.00029034311030761144</v>
      </c>
      <c r="W16">
        <f t="shared" si="5"/>
        <v>0.00036891447830031366</v>
      </c>
      <c r="X16" s="1">
        <f>+'Volcano Summary'!E$12*10^9/Q16/3600/24/365</f>
        <v>0</v>
      </c>
      <c r="Y16" s="3">
        <f t="shared" si="6"/>
        <v>2</v>
      </c>
      <c r="Z16" s="1">
        <f>+Y16*'Volcano Summary'!B$19*'Volcano Summary'!B$20/1000</f>
        <v>81000</v>
      </c>
      <c r="AA16" s="1">
        <f t="shared" si="7"/>
        <v>8362530.879071866</v>
      </c>
      <c r="AB16" s="3">
        <f t="shared" si="8"/>
        <v>2322.9252441866297</v>
      </c>
      <c r="AC16" s="1">
        <f t="shared" si="9"/>
        <v>23470807.71182474</v>
      </c>
      <c r="AD16" s="36">
        <f t="shared" si="10"/>
        <v>6519.668808840206</v>
      </c>
      <c r="AE16" s="36">
        <f t="shared" si="28"/>
        <v>271.65286703500857</v>
      </c>
      <c r="AG16" s="1">
        <f t="shared" si="11"/>
        <v>81000000</v>
      </c>
      <c r="AH16" s="1">
        <f t="shared" si="12"/>
        <v>81000</v>
      </c>
      <c r="AI16" s="1">
        <f t="shared" si="13"/>
        <v>81081000</v>
      </c>
      <c r="AJ16" s="1">
        <f t="shared" si="14"/>
        <v>221137438.24033433</v>
      </c>
      <c r="AK16" s="1">
        <f t="shared" si="15"/>
        <v>221358575.67857465</v>
      </c>
      <c r="AL16" s="39">
        <f>+AJ16/('Volcano Summary'!C$8)*10^6</f>
        <v>15.35199740180728</v>
      </c>
      <c r="AM16" s="1">
        <f t="shared" si="16"/>
        <v>271.65286703500857</v>
      </c>
    </row>
    <row r="17" spans="1:39" ht="12.75" hidden="1">
      <c r="A17" s="1">
        <f t="shared" si="17"/>
        <v>8362530.879071866</v>
      </c>
      <c r="B17" s="1">
        <f t="shared" si="18"/>
        <v>365.38580208679076</v>
      </c>
      <c r="C17" s="1">
        <f t="shared" si="29"/>
        <v>84</v>
      </c>
      <c r="D17" s="12">
        <f t="shared" si="19"/>
        <v>10.341765891652821</v>
      </c>
      <c r="E17" s="38">
        <f t="shared" si="0"/>
        <v>109186058.79736799</v>
      </c>
      <c r="F17" s="38">
        <f t="shared" si="1"/>
        <v>70200961.77666932</v>
      </c>
      <c r="G17" s="38">
        <f t="shared" si="2"/>
        <v>31215864.75597068</v>
      </c>
      <c r="H17" s="18">
        <f t="shared" si="20"/>
        <v>0.04834764248565773</v>
      </c>
      <c r="I17" s="50">
        <f t="shared" si="30"/>
        <v>0.06922346458994443</v>
      </c>
      <c r="J17" s="3">
        <f t="shared" si="21"/>
        <v>336.1791317613221</v>
      </c>
      <c r="K17" s="12">
        <v>0.926</v>
      </c>
      <c r="L17" s="3">
        <f t="shared" si="22"/>
        <v>1463.1534716235976</v>
      </c>
      <c r="M17" s="12">
        <v>0.718</v>
      </c>
      <c r="N17" s="37">
        <f t="shared" si="23"/>
        <v>118.82380727286434</v>
      </c>
      <c r="O17" s="1">
        <f t="shared" si="3"/>
        <v>7085.184975123127</v>
      </c>
      <c r="P17">
        <f t="shared" si="24"/>
        <v>84.17354082562481</v>
      </c>
      <c r="Q17" s="1">
        <f t="shared" si="25"/>
        <v>10.001820592538621</v>
      </c>
      <c r="R17" s="1">
        <f>+Q17*1000/'Material Properties'!AE$35</f>
        <v>8577.425442263715</v>
      </c>
      <c r="S17" s="1">
        <f t="shared" si="26"/>
        <v>102.1122076459966</v>
      </c>
      <c r="T17" s="1">
        <f t="shared" si="27"/>
        <v>108.27335690014615</v>
      </c>
      <c r="U17">
        <f t="shared" si="4"/>
        <v>7.857136799270222E-05</v>
      </c>
      <c r="V17">
        <f>+'Material Properties'!AE$31+'Material Properties'!AE$33</f>
        <v>0.00029034311030761144</v>
      </c>
      <c r="W17">
        <f t="shared" si="5"/>
        <v>0.00036891447830031366</v>
      </c>
      <c r="X17" s="1">
        <f>+'Volcano Summary'!E$12*10^9/Q17/3600/24/365</f>
        <v>0</v>
      </c>
      <c r="Y17" s="3">
        <f t="shared" si="6"/>
        <v>2</v>
      </c>
      <c r="Z17" s="1">
        <f>+Y17*'Volcano Summary'!B$19*'Volcano Summary'!B$20/1000</f>
        <v>81000</v>
      </c>
      <c r="AA17" s="1">
        <f t="shared" si="7"/>
        <v>8098525.588473978</v>
      </c>
      <c r="AB17" s="3">
        <f t="shared" si="8"/>
        <v>2249.5904412427717</v>
      </c>
      <c r="AC17" s="1">
        <f t="shared" si="9"/>
        <v>31569333.30029872</v>
      </c>
      <c r="AD17" s="36">
        <f t="shared" si="10"/>
        <v>8769.259250082978</v>
      </c>
      <c r="AE17" s="36">
        <f t="shared" si="28"/>
        <v>365.38580208679076</v>
      </c>
      <c r="AG17" s="1">
        <f t="shared" si="11"/>
        <v>81000000</v>
      </c>
      <c r="AH17" s="1">
        <f t="shared" si="12"/>
        <v>81000</v>
      </c>
      <c r="AI17" s="1">
        <f t="shared" si="13"/>
        <v>81081000</v>
      </c>
      <c r="AJ17" s="1">
        <f t="shared" si="14"/>
        <v>302137438.24033433</v>
      </c>
      <c r="AK17" s="1">
        <f t="shared" si="15"/>
        <v>302439575.6785747</v>
      </c>
      <c r="AL17" s="39">
        <f>+AJ17/('Volcano Summary'!C$8)*10^6</f>
        <v>20.975250521864357</v>
      </c>
      <c r="AM17" s="1">
        <f t="shared" si="16"/>
        <v>365.38580208679076</v>
      </c>
    </row>
    <row r="18" spans="1:39" ht="12.75" hidden="1">
      <c r="A18" s="1">
        <f t="shared" si="17"/>
        <v>8098525.588473978</v>
      </c>
      <c r="B18" s="1">
        <f t="shared" si="18"/>
        <v>456.22887510432935</v>
      </c>
      <c r="C18" s="1">
        <f t="shared" si="29"/>
        <v>86</v>
      </c>
      <c r="D18" s="12">
        <f t="shared" si="19"/>
        <v>10.464157913908982</v>
      </c>
      <c r="E18" s="38">
        <f t="shared" si="0"/>
        <v>110478246.4835325</v>
      </c>
      <c r="F18" s="38">
        <f t="shared" si="1"/>
        <v>71031771.30825126</v>
      </c>
      <c r="G18" s="38">
        <f t="shared" si="2"/>
        <v>31585296.132970016</v>
      </c>
      <c r="H18" s="18">
        <f t="shared" si="20"/>
        <v>0.047782153529563894</v>
      </c>
      <c r="I18" s="50">
        <f t="shared" si="30"/>
        <v>0.06895565673885631</v>
      </c>
      <c r="J18" s="3">
        <f t="shared" si="21"/>
        <v>330.9849777027939</v>
      </c>
      <c r="K18" s="12">
        <v>0.926</v>
      </c>
      <c r="L18" s="3">
        <f t="shared" si="22"/>
        <v>1463.1534716235976</v>
      </c>
      <c r="M18" s="12">
        <v>0.718</v>
      </c>
      <c r="N18" s="37">
        <f t="shared" si="23"/>
        <v>121.65294554126586</v>
      </c>
      <c r="O18" s="1">
        <f t="shared" si="3"/>
        <v>7196.37292857461</v>
      </c>
      <c r="P18">
        <f t="shared" si="24"/>
        <v>84.83143832668765</v>
      </c>
      <c r="Q18" s="1">
        <f t="shared" si="25"/>
        <v>10.319994346943785</v>
      </c>
      <c r="R18" s="1">
        <f>+Q18*1000/'Material Properties'!AE$35</f>
        <v>8850.286930914228</v>
      </c>
      <c r="S18" s="1">
        <f t="shared" si="26"/>
        <v>102.91031315016544</v>
      </c>
      <c r="T18" s="1">
        <f t="shared" si="27"/>
        <v>108.27335690014615</v>
      </c>
      <c r="U18">
        <f t="shared" si="4"/>
        <v>7.857136799270222E-05</v>
      </c>
      <c r="V18">
        <f>+'Material Properties'!AE$31+'Material Properties'!AE$33</f>
        <v>0.00029034311030761144</v>
      </c>
      <c r="W18">
        <f t="shared" si="5"/>
        <v>0.00036891447830031366</v>
      </c>
      <c r="X18" s="1">
        <f>+'Volcano Summary'!E$12*10^9/Q18/3600/24/365</f>
        <v>0</v>
      </c>
      <c r="Y18" s="3">
        <f t="shared" si="6"/>
        <v>2</v>
      </c>
      <c r="Z18" s="1">
        <f>+Y18*'Volcano Summary'!B$19*'Volcano Summary'!B$20/1000</f>
        <v>81000</v>
      </c>
      <c r="AA18" s="1">
        <f t="shared" si="7"/>
        <v>7848841.508715336</v>
      </c>
      <c r="AB18" s="3">
        <f t="shared" si="8"/>
        <v>2180.2337524209265</v>
      </c>
      <c r="AC18" s="1">
        <f t="shared" si="9"/>
        <v>39418174.80901406</v>
      </c>
      <c r="AD18" s="36">
        <f t="shared" si="10"/>
        <v>10949.493002503905</v>
      </c>
      <c r="AE18" s="36">
        <f t="shared" si="28"/>
        <v>456.22887510432935</v>
      </c>
      <c r="AG18" s="1">
        <f t="shared" si="11"/>
        <v>81000000</v>
      </c>
      <c r="AH18" s="1">
        <f t="shared" si="12"/>
        <v>81000</v>
      </c>
      <c r="AI18" s="1">
        <f t="shared" si="13"/>
        <v>81081000</v>
      </c>
      <c r="AJ18" s="1">
        <f t="shared" si="14"/>
        <v>383137438.24033433</v>
      </c>
      <c r="AK18" s="1">
        <f t="shared" si="15"/>
        <v>383520575.6785747</v>
      </c>
      <c r="AL18" s="39">
        <f>+AJ18/('Volcano Summary'!C$8)*10^6</f>
        <v>26.598503641921436</v>
      </c>
      <c r="AM18" s="1">
        <f t="shared" si="16"/>
        <v>456.22887510432935</v>
      </c>
    </row>
    <row r="19" spans="1:39" ht="12.75" hidden="1">
      <c r="A19" s="1">
        <f t="shared" si="17"/>
        <v>7848841.508715336</v>
      </c>
      <c r="B19" s="1">
        <f t="shared" si="18"/>
        <v>537.5130841086819</v>
      </c>
      <c r="C19" s="1">
        <f t="shared" si="29"/>
        <v>88</v>
      </c>
      <c r="D19" s="12">
        <f t="shared" si="19"/>
        <v>10.585134856802455</v>
      </c>
      <c r="E19" s="38">
        <f t="shared" si="0"/>
        <v>111755494.07724895</v>
      </c>
      <c r="F19" s="38">
        <f t="shared" si="1"/>
        <v>71852975.13677514</v>
      </c>
      <c r="G19" s="38">
        <f t="shared" si="2"/>
        <v>31950456.19630132</v>
      </c>
      <c r="H19" s="18">
        <f t="shared" si="20"/>
        <v>0.047236053840039545</v>
      </c>
      <c r="I19" s="50">
        <f t="shared" si="30"/>
        <v>0.06869599965037816</v>
      </c>
      <c r="J19" s="3">
        <f t="shared" si="21"/>
        <v>325.99279380806</v>
      </c>
      <c r="K19" s="12">
        <f>0.926-(100-J19)/60*(0.926-0.883)</f>
        <v>1.0879615022291098</v>
      </c>
      <c r="L19" s="3">
        <f t="shared" si="22"/>
        <v>1719.0654956580415</v>
      </c>
      <c r="M19" s="12">
        <v>0.718</v>
      </c>
      <c r="N19" s="37">
        <f t="shared" si="23"/>
        <v>124.4820838096674</v>
      </c>
      <c r="O19" s="1">
        <f t="shared" si="3"/>
        <v>8584.52926739537</v>
      </c>
      <c r="P19">
        <f t="shared" si="24"/>
        <v>92.65273480796651</v>
      </c>
      <c r="Q19" s="1">
        <f t="shared" si="25"/>
        <v>11.533605499560176</v>
      </c>
      <c r="R19" s="1">
        <f>+Q19*1000/'Material Properties'!AE$35</f>
        <v>9891.063365679758</v>
      </c>
      <c r="S19" s="1">
        <f t="shared" si="26"/>
        <v>112.39844733726999</v>
      </c>
      <c r="T19" s="1">
        <f t="shared" si="27"/>
        <v>-151.21158342831063</v>
      </c>
      <c r="U19">
        <f t="shared" si="4"/>
        <v>-5.7067458171586155E-05</v>
      </c>
      <c r="V19">
        <f>+'Material Properties'!AE$31+'Material Properties'!AE$33</f>
        <v>0.00029034311030761144</v>
      </c>
      <c r="W19">
        <f t="shared" si="5"/>
        <v>0.0002332756521360253</v>
      </c>
      <c r="X19" s="1">
        <f>+'Volcano Summary'!E$12*10^9/Q19/3600/24/365</f>
        <v>0</v>
      </c>
      <c r="Y19" s="3">
        <f t="shared" si="6"/>
        <v>2</v>
      </c>
      <c r="Z19" s="1">
        <f>+Y19*'Volcano Summary'!B$19*'Volcano Summary'!B$20/1000</f>
        <v>81000</v>
      </c>
      <c r="AA19" s="1">
        <f t="shared" si="7"/>
        <v>7022955.657976065</v>
      </c>
      <c r="AB19" s="3">
        <f t="shared" si="8"/>
        <v>1950.8210161044624</v>
      </c>
      <c r="AC19" s="1">
        <f t="shared" si="9"/>
        <v>46441130.46699013</v>
      </c>
      <c r="AD19" s="36">
        <f t="shared" si="10"/>
        <v>12900.314018608367</v>
      </c>
      <c r="AE19" s="36">
        <f t="shared" si="28"/>
        <v>537.5130841086819</v>
      </c>
      <c r="AG19" s="1">
        <f t="shared" si="11"/>
        <v>81000000</v>
      </c>
      <c r="AH19" s="1">
        <f t="shared" si="12"/>
        <v>81000</v>
      </c>
      <c r="AI19" s="1">
        <f t="shared" si="13"/>
        <v>81081000</v>
      </c>
      <c r="AJ19" s="1">
        <f t="shared" si="14"/>
        <v>464137438.24033433</v>
      </c>
      <c r="AK19" s="1">
        <f t="shared" si="15"/>
        <v>464601575.6785747</v>
      </c>
      <c r="AL19" s="39">
        <f>+AJ19/('Volcano Summary'!C$8)*10^6</f>
        <v>32.22175676197852</v>
      </c>
      <c r="AM19" s="1">
        <f t="shared" si="16"/>
        <v>537.5130841086819</v>
      </c>
    </row>
    <row r="20" spans="1:39" ht="12.75" hidden="1">
      <c r="A20" s="1">
        <f t="shared" si="17"/>
        <v>7022955.657976065</v>
      </c>
      <c r="B20" s="1">
        <f t="shared" si="18"/>
        <v>616.5284574278668</v>
      </c>
      <c r="C20" s="1">
        <f t="shared" si="29"/>
        <v>90</v>
      </c>
      <c r="D20" s="12">
        <f t="shared" si="19"/>
        <v>10.704744696916627</v>
      </c>
      <c r="E20" s="38">
        <f t="shared" si="0"/>
        <v>113018308.10458936</v>
      </c>
      <c r="F20" s="38">
        <f t="shared" si="1"/>
        <v>72664898.93218282</v>
      </c>
      <c r="G20" s="38">
        <f t="shared" si="2"/>
        <v>32311489.75977628</v>
      </c>
      <c r="H20" s="18">
        <f t="shared" si="20"/>
        <v>0.0467082601366494</v>
      </c>
      <c r="I20" s="50">
        <f t="shared" si="30"/>
        <v>0.06844406120167408</v>
      </c>
      <c r="J20" s="3">
        <f t="shared" si="21"/>
        <v>321.19030154165455</v>
      </c>
      <c r="K20" s="12">
        <f aca="true" t="shared" si="31" ref="K20:K83">0.926-(100-J20)/60*(0.926-0.883)</f>
        <v>1.0845197161048525</v>
      </c>
      <c r="L20" s="3">
        <f t="shared" si="22"/>
        <v>1713.6272005000576</v>
      </c>
      <c r="M20" s="12">
        <v>0.718</v>
      </c>
      <c r="N20" s="37">
        <f t="shared" si="23"/>
        <v>127.31122207806891</v>
      </c>
      <c r="O20" s="1">
        <f t="shared" si="3"/>
        <v>8685.323239459418</v>
      </c>
      <c r="P20">
        <f t="shared" si="24"/>
        <v>93.19508162697974</v>
      </c>
      <c r="Q20" s="1">
        <f t="shared" si="25"/>
        <v>11.864779733596176</v>
      </c>
      <c r="R20" s="1">
        <f>+Q20*1000/'Material Properties'!AE$35</f>
        <v>10175.07388902005</v>
      </c>
      <c r="S20" s="1">
        <f t="shared" si="26"/>
        <v>113.05637654466722</v>
      </c>
      <c r="T20" s="1">
        <f t="shared" si="27"/>
        <v>-144.8352844958181</v>
      </c>
      <c r="U20">
        <f t="shared" si="4"/>
        <v>-5.9595533020600125E-05</v>
      </c>
      <c r="V20">
        <f>+'Material Properties'!AE$31+'Material Properties'!AE$33</f>
        <v>0.00029034311030761144</v>
      </c>
      <c r="W20">
        <f t="shared" si="5"/>
        <v>0.00023074757728701133</v>
      </c>
      <c r="X20" s="1">
        <f>+'Volcano Summary'!E$12*10^9/Q20/3600/24/365</f>
        <v>0</v>
      </c>
      <c r="Y20" s="3">
        <f t="shared" si="6"/>
        <v>2</v>
      </c>
      <c r="Z20" s="1">
        <f>+Y20*'Volcano Summary'!B$19*'Volcano Summary'!B$20/1000</f>
        <v>81000</v>
      </c>
      <c r="AA20" s="1">
        <f t="shared" si="7"/>
        <v>6826928.254777568</v>
      </c>
      <c r="AB20" s="3">
        <f t="shared" si="8"/>
        <v>1896.3689596604356</v>
      </c>
      <c r="AC20" s="1">
        <f t="shared" si="9"/>
        <v>53268058.721767694</v>
      </c>
      <c r="AD20" s="36">
        <f t="shared" si="10"/>
        <v>14796.682978268804</v>
      </c>
      <c r="AE20" s="36">
        <f t="shared" si="28"/>
        <v>616.5284574278668</v>
      </c>
      <c r="AG20" s="1">
        <f t="shared" si="11"/>
        <v>81000000</v>
      </c>
      <c r="AH20" s="1">
        <f t="shared" si="12"/>
        <v>81000</v>
      </c>
      <c r="AI20" s="1">
        <f t="shared" si="13"/>
        <v>81081000</v>
      </c>
      <c r="AJ20" s="1">
        <f t="shared" si="14"/>
        <v>545137438.2403343</v>
      </c>
      <c r="AK20" s="1">
        <f t="shared" si="15"/>
        <v>545682575.6785747</v>
      </c>
      <c r="AL20" s="39">
        <f>+AJ20/('Volcano Summary'!C$8)*10^6</f>
        <v>37.84500988203558</v>
      </c>
      <c r="AM20" s="1">
        <f t="shared" si="16"/>
        <v>616.5284574278668</v>
      </c>
    </row>
    <row r="21" spans="1:39" ht="12.75" hidden="1">
      <c r="A21" s="1">
        <f t="shared" si="17"/>
        <v>6826928.254777568</v>
      </c>
      <c r="B21" s="1">
        <f t="shared" si="18"/>
        <v>693.385186739532</v>
      </c>
      <c r="C21" s="1">
        <f t="shared" si="29"/>
        <v>92</v>
      </c>
      <c r="D21" s="12">
        <f t="shared" si="19"/>
        <v>10.823032759612019</v>
      </c>
      <c r="E21" s="38">
        <f t="shared" si="0"/>
        <v>114267167.10060571</v>
      </c>
      <c r="F21" s="38">
        <f t="shared" si="1"/>
        <v>73467850.36764489</v>
      </c>
      <c r="G21" s="38">
        <f t="shared" si="2"/>
        <v>32668533.634684093</v>
      </c>
      <c r="H21" s="18">
        <f t="shared" si="20"/>
        <v>0.04619777202059618</v>
      </c>
      <c r="I21" s="50">
        <f t="shared" si="30"/>
        <v>0.068199441382769</v>
      </c>
      <c r="J21" s="3">
        <f t="shared" si="21"/>
        <v>316.5662244933175</v>
      </c>
      <c r="K21" s="12">
        <f t="shared" si="31"/>
        <v>1.0812057942202111</v>
      </c>
      <c r="L21" s="3">
        <f t="shared" si="22"/>
        <v>1708.3909409858002</v>
      </c>
      <c r="M21" s="12">
        <v>0.718</v>
      </c>
      <c r="N21" s="37">
        <f t="shared" si="23"/>
        <v>130.14036034647043</v>
      </c>
      <c r="O21" s="1">
        <f t="shared" si="3"/>
        <v>8785.262555074632</v>
      </c>
      <c r="P21">
        <f t="shared" si="24"/>
        <v>93.72973143605306</v>
      </c>
      <c r="Q21" s="1">
        <f t="shared" si="25"/>
        <v>12.198021024265843</v>
      </c>
      <c r="R21" s="1">
        <f>+Q21*1000/'Material Properties'!AE$35</f>
        <v>10460.85709204362</v>
      </c>
      <c r="S21" s="1">
        <f t="shared" si="26"/>
        <v>113.70496839177848</v>
      </c>
      <c r="T21" s="1">
        <f t="shared" si="27"/>
        <v>-138.73124320136571</v>
      </c>
      <c r="U21">
        <f t="shared" si="4"/>
        <v>-6.223480105644875E-05</v>
      </c>
      <c r="V21">
        <f>+'Material Properties'!AE$31+'Material Properties'!AE$33</f>
        <v>0.00029034311030761144</v>
      </c>
      <c r="W21">
        <f t="shared" si="5"/>
        <v>0.0002281083092511627</v>
      </c>
      <c r="X21" s="1">
        <f>+'Volcano Summary'!E$12*10^9/Q21/3600/24/365</f>
        <v>0</v>
      </c>
      <c r="Y21" s="3">
        <f t="shared" si="6"/>
        <v>2</v>
      </c>
      <c r="Z21" s="1">
        <f>+Y21*'Volcano Summary'!B$19*'Volcano Summary'!B$20/1000</f>
        <v>81000</v>
      </c>
      <c r="AA21" s="1">
        <f t="shared" si="7"/>
        <v>6640421.412527866</v>
      </c>
      <c r="AB21" s="3">
        <f t="shared" si="8"/>
        <v>1844.5615034799628</v>
      </c>
      <c r="AC21" s="1">
        <f t="shared" si="9"/>
        <v>59908480.13429556</v>
      </c>
      <c r="AD21" s="36">
        <f t="shared" si="10"/>
        <v>16641.244481748767</v>
      </c>
      <c r="AE21" s="36">
        <f t="shared" si="28"/>
        <v>693.385186739532</v>
      </c>
      <c r="AG21" s="1">
        <f t="shared" si="11"/>
        <v>81000000</v>
      </c>
      <c r="AH21" s="1">
        <f t="shared" si="12"/>
        <v>81000</v>
      </c>
      <c r="AI21" s="1">
        <f t="shared" si="13"/>
        <v>81081000</v>
      </c>
      <c r="AJ21" s="1">
        <f t="shared" si="14"/>
        <v>626137438.2403343</v>
      </c>
      <c r="AK21" s="1">
        <f t="shared" si="15"/>
        <v>626763575.6785747</v>
      </c>
      <c r="AL21" s="39">
        <f>+AJ21/('Volcano Summary'!C$8)*10^6</f>
        <v>43.46826300209267</v>
      </c>
      <c r="AM21" s="1">
        <f t="shared" si="16"/>
        <v>693.385186739532</v>
      </c>
    </row>
    <row r="22" spans="1:39" ht="12.75" hidden="1">
      <c r="A22" s="1">
        <f t="shared" si="17"/>
        <v>6640421.412527866</v>
      </c>
      <c r="B22" s="1">
        <f t="shared" si="18"/>
        <v>768.1859242742821</v>
      </c>
      <c r="C22" s="1">
        <f t="shared" si="29"/>
        <v>94</v>
      </c>
      <c r="D22" s="12">
        <f t="shared" si="19"/>
        <v>10.940041919714261</v>
      </c>
      <c r="E22" s="38">
        <f t="shared" si="0"/>
        <v>115502523.72814898</v>
      </c>
      <c r="F22" s="38">
        <f t="shared" si="1"/>
        <v>74262120.48185119</v>
      </c>
      <c r="G22" s="38">
        <f t="shared" si="2"/>
        <v>33021717.235553402</v>
      </c>
      <c r="H22" s="18">
        <f t="shared" si="20"/>
        <v>0.04570366399592912</v>
      </c>
      <c r="I22" s="50">
        <f t="shared" si="30"/>
        <v>0.06796176925969984</v>
      </c>
      <c r="J22" s="3">
        <f t="shared" si="21"/>
        <v>312.1101866814186</v>
      </c>
      <c r="K22" s="12">
        <f t="shared" si="31"/>
        <v>1.0780123004550168</v>
      </c>
      <c r="L22" s="3">
        <f t="shared" si="22"/>
        <v>1703.344967455398</v>
      </c>
      <c r="M22" s="12">
        <v>0.718</v>
      </c>
      <c r="N22" s="37">
        <f t="shared" si="23"/>
        <v>132.969498614872</v>
      </c>
      <c r="O22" s="1">
        <f t="shared" si="3"/>
        <v>8884.371911560243</v>
      </c>
      <c r="P22">
        <f t="shared" si="24"/>
        <v>94.25694622445734</v>
      </c>
      <c r="Q22" s="1">
        <f t="shared" si="25"/>
        <v>12.533298880435046</v>
      </c>
      <c r="R22" s="1">
        <f>+Q22*1000/'Material Properties'!AE$35</f>
        <v>10748.386825968135</v>
      </c>
      <c r="S22" s="1">
        <f t="shared" si="26"/>
        <v>114.34454070178867</v>
      </c>
      <c r="T22" s="1">
        <f t="shared" si="27"/>
        <v>-132.88185937967137</v>
      </c>
      <c r="U22">
        <f t="shared" si="4"/>
        <v>-6.499302283144845E-05</v>
      </c>
      <c r="V22">
        <f>+'Material Properties'!AE$31+'Material Properties'!AE$33</f>
        <v>0.00029034311030761144</v>
      </c>
      <c r="W22">
        <f t="shared" si="5"/>
        <v>0.000225350087476163</v>
      </c>
      <c r="X22" s="1">
        <f>+'Volcano Summary'!E$12*10^9/Q22/3600/24/365</f>
        <v>0</v>
      </c>
      <c r="Y22" s="3">
        <f t="shared" si="6"/>
        <v>2</v>
      </c>
      <c r="Z22" s="1">
        <f>+Y22*'Volcano Summary'!B$19*'Volcano Summary'!B$20/1000</f>
        <v>81000</v>
      </c>
      <c r="AA22" s="1">
        <f t="shared" si="7"/>
        <v>6462783.723002414</v>
      </c>
      <c r="AB22" s="3">
        <f t="shared" si="8"/>
        <v>1795.217700834004</v>
      </c>
      <c r="AC22" s="1">
        <f t="shared" si="9"/>
        <v>66371263.85729797</v>
      </c>
      <c r="AD22" s="36">
        <f t="shared" si="10"/>
        <v>18436.46218258277</v>
      </c>
      <c r="AE22" s="36">
        <f t="shared" si="28"/>
        <v>768.1859242742821</v>
      </c>
      <c r="AG22" s="1">
        <f t="shared" si="11"/>
        <v>81000000</v>
      </c>
      <c r="AH22" s="1">
        <f t="shared" si="12"/>
        <v>81000</v>
      </c>
      <c r="AI22" s="1">
        <f t="shared" si="13"/>
        <v>81081000</v>
      </c>
      <c r="AJ22" s="1">
        <f t="shared" si="14"/>
        <v>707137438.2403343</v>
      </c>
      <c r="AK22" s="1">
        <f t="shared" si="15"/>
        <v>707844575.6785747</v>
      </c>
      <c r="AL22" s="39">
        <f>+AJ22/('Volcano Summary'!C$8)*10^6</f>
        <v>49.09151612214975</v>
      </c>
      <c r="AM22" s="1">
        <f t="shared" si="16"/>
        <v>768.1859242742821</v>
      </c>
    </row>
    <row r="23" spans="1:39" ht="12.75" hidden="1">
      <c r="A23" s="1">
        <f t="shared" si="17"/>
        <v>6462783.723002414</v>
      </c>
      <c r="B23" s="1">
        <f t="shared" si="18"/>
        <v>841.0264425699984</v>
      </c>
      <c r="C23" s="1">
        <f t="shared" si="29"/>
        <v>96</v>
      </c>
      <c r="D23" s="12">
        <f t="shared" si="19"/>
        <v>11.055812783082736</v>
      </c>
      <c r="E23" s="38">
        <f t="shared" si="0"/>
        <v>116724806.69483022</v>
      </c>
      <c r="F23" s="38">
        <f t="shared" si="1"/>
        <v>75047984.91151711</v>
      </c>
      <c r="G23" s="38">
        <f t="shared" si="2"/>
        <v>33371163.128204014</v>
      </c>
      <c r="H23" s="18">
        <f t="shared" si="20"/>
        <v>0.04522507840989173</v>
      </c>
      <c r="I23" s="50">
        <f t="shared" si="30"/>
        <v>0.0677307002835503</v>
      </c>
      <c r="J23" s="3">
        <f t="shared" si="21"/>
        <v>307.8126231080438</v>
      </c>
      <c r="K23" s="12">
        <f t="shared" si="31"/>
        <v>1.0749323798940982</v>
      </c>
      <c r="L23" s="3">
        <f t="shared" si="22"/>
        <v>1698.4784485989908</v>
      </c>
      <c r="M23" s="12">
        <v>0.718</v>
      </c>
      <c r="N23" s="37">
        <f t="shared" si="23"/>
        <v>135.79863688327353</v>
      </c>
      <c r="O23" s="1">
        <f t="shared" si="3"/>
        <v>8982.67479335273</v>
      </c>
      <c r="P23">
        <f t="shared" si="24"/>
        <v>94.77697396178425</v>
      </c>
      <c r="Q23" s="1">
        <f t="shared" si="25"/>
        <v>12.870583871931808</v>
      </c>
      <c r="R23" s="1">
        <f>+Q23*1000/'Material Properties'!AE$35</f>
        <v>11037.637851877982</v>
      </c>
      <c r="S23" s="1">
        <f t="shared" si="26"/>
        <v>114.97539429039564</v>
      </c>
      <c r="T23" s="1">
        <f t="shared" si="27"/>
        <v>-127.27103235235813</v>
      </c>
      <c r="U23">
        <f t="shared" si="4"/>
        <v>-6.787868897107995E-05</v>
      </c>
      <c r="V23">
        <f>+'Material Properties'!AE$31+'Material Properties'!AE$33</f>
        <v>0.00029034311030761144</v>
      </c>
      <c r="W23">
        <f t="shared" si="5"/>
        <v>0.0002224644213365315</v>
      </c>
      <c r="X23" s="1">
        <f>+'Volcano Summary'!E$12*10^9/Q23/3600/24/365</f>
        <v>0</v>
      </c>
      <c r="Y23" s="3">
        <f t="shared" si="6"/>
        <v>2</v>
      </c>
      <c r="Z23" s="1">
        <f>+Y23*'Volcano Summary'!B$19*'Volcano Summary'!B$20/1000</f>
        <v>81000</v>
      </c>
      <c r="AA23" s="1">
        <f t="shared" si="7"/>
        <v>6293420.780749887</v>
      </c>
      <c r="AB23" s="3">
        <f t="shared" si="8"/>
        <v>1748.1724390971908</v>
      </c>
      <c r="AC23" s="1">
        <f t="shared" si="9"/>
        <v>72664684.63804786</v>
      </c>
      <c r="AD23" s="36">
        <f t="shared" si="10"/>
        <v>20184.63462167996</v>
      </c>
      <c r="AE23" s="36">
        <f t="shared" si="28"/>
        <v>841.0264425699984</v>
      </c>
      <c r="AG23" s="1">
        <f t="shared" si="11"/>
        <v>80999999.99999999</v>
      </c>
      <c r="AH23" s="1">
        <f t="shared" si="12"/>
        <v>81000</v>
      </c>
      <c r="AI23" s="1">
        <f t="shared" si="13"/>
        <v>81080999.99999999</v>
      </c>
      <c r="AJ23" s="1">
        <f t="shared" si="14"/>
        <v>788137438.2403343</v>
      </c>
      <c r="AK23" s="1">
        <f t="shared" si="15"/>
        <v>788925575.6785747</v>
      </c>
      <c r="AL23" s="39">
        <f>+AJ23/('Volcano Summary'!C$8)*10^6</f>
        <v>54.71476924220682</v>
      </c>
      <c r="AM23" s="1">
        <f t="shared" si="16"/>
        <v>841.0264425699984</v>
      </c>
    </row>
    <row r="24" spans="1:39" ht="12.75" hidden="1">
      <c r="A24" s="1">
        <f t="shared" si="17"/>
        <v>6293420.780749887</v>
      </c>
      <c r="B24" s="1">
        <f t="shared" si="18"/>
        <v>911.9962243859262</v>
      </c>
      <c r="C24" s="1">
        <f t="shared" si="29"/>
        <v>98</v>
      </c>
      <c r="D24" s="12">
        <f t="shared" si="19"/>
        <v>11.170383851240114</v>
      </c>
      <c r="E24" s="38">
        <f t="shared" si="0"/>
        <v>117934422.49114269</v>
      </c>
      <c r="F24" s="38">
        <f t="shared" si="1"/>
        <v>75825705.0089059</v>
      </c>
      <c r="G24" s="38">
        <f t="shared" si="2"/>
        <v>33716987.526669115</v>
      </c>
      <c r="H24" s="18">
        <f t="shared" si="20"/>
        <v>0.044761219189839295</v>
      </c>
      <c r="I24" s="50">
        <f t="shared" si="30"/>
        <v>0.06750591389958148</v>
      </c>
      <c r="J24" s="3">
        <f t="shared" si="21"/>
        <v>303.6647008669586</v>
      </c>
      <c r="K24" s="12">
        <f t="shared" si="31"/>
        <v>1.0719597022879872</v>
      </c>
      <c r="L24" s="3">
        <f t="shared" si="22"/>
        <v>1693.7813821201582</v>
      </c>
      <c r="M24" s="12">
        <v>0.718</v>
      </c>
      <c r="N24" s="37">
        <f t="shared" si="23"/>
        <v>138.62777515167502</v>
      </c>
      <c r="O24" s="1">
        <f t="shared" si="3"/>
        <v>9080.19355520048</v>
      </c>
      <c r="P24">
        <f t="shared" si="24"/>
        <v>95.29004961275065</v>
      </c>
      <c r="Q24" s="1">
        <f t="shared" si="25"/>
        <v>13.209847571908355</v>
      </c>
      <c r="R24" s="1">
        <f>+Q24*1000/'Material Properties'!AE$35</f>
        <v>11328.585791294752</v>
      </c>
      <c r="S24" s="1">
        <f t="shared" si="26"/>
        <v>115.59781419688522</v>
      </c>
      <c r="T24" s="1">
        <f t="shared" si="27"/>
        <v>-121.88400399830198</v>
      </c>
      <c r="U24">
        <f t="shared" si="4"/>
        <v>-7.090110854754312E-05</v>
      </c>
      <c r="V24">
        <f>+'Material Properties'!AE$31+'Material Properties'!AE$33</f>
        <v>0.00029034311030761144</v>
      </c>
      <c r="W24">
        <f t="shared" si="5"/>
        <v>0.0002194420017600683</v>
      </c>
      <c r="X24" s="1">
        <f>+'Volcano Summary'!E$12*10^9/Q24/3600/24/365</f>
        <v>0</v>
      </c>
      <c r="Y24" s="3">
        <f t="shared" si="6"/>
        <v>2</v>
      </c>
      <c r="Z24" s="1">
        <f>+Y24*'Volcano Summary'!B$19*'Volcano Summary'!B$20/1000</f>
        <v>81000</v>
      </c>
      <c r="AA24" s="1">
        <f t="shared" si="7"/>
        <v>6131789.148896164</v>
      </c>
      <c r="AB24" s="3">
        <f t="shared" si="8"/>
        <v>1703.274763582268</v>
      </c>
      <c r="AC24" s="1">
        <f t="shared" si="9"/>
        <v>78796473.78694402</v>
      </c>
      <c r="AD24" s="36">
        <f t="shared" si="10"/>
        <v>21887.909385262228</v>
      </c>
      <c r="AE24" s="36">
        <f t="shared" si="28"/>
        <v>911.9962243859262</v>
      </c>
      <c r="AG24" s="1">
        <f t="shared" si="11"/>
        <v>81000000</v>
      </c>
      <c r="AH24" s="1">
        <f t="shared" si="12"/>
        <v>81000</v>
      </c>
      <c r="AI24" s="1">
        <f t="shared" si="13"/>
        <v>81081000</v>
      </c>
      <c r="AJ24" s="1">
        <f t="shared" si="14"/>
        <v>869137438.2403343</v>
      </c>
      <c r="AK24" s="1">
        <f t="shared" si="15"/>
        <v>870006575.6785747</v>
      </c>
      <c r="AL24" s="39">
        <f>+AJ24/('Volcano Summary'!C$8)*10^6</f>
        <v>60.33802236226391</v>
      </c>
      <c r="AM24" s="1">
        <f t="shared" si="16"/>
        <v>911.9962243859262</v>
      </c>
    </row>
    <row r="25" spans="1:39" ht="12.75" hidden="1">
      <c r="A25" s="1">
        <f t="shared" si="17"/>
        <v>6131789.148896164</v>
      </c>
      <c r="B25" s="1">
        <f t="shared" si="18"/>
        <v>981.178991402413</v>
      </c>
      <c r="C25" s="1">
        <f t="shared" si="29"/>
        <v>100</v>
      </c>
      <c r="D25" s="12">
        <f t="shared" si="19"/>
        <v>11.283791670955125</v>
      </c>
      <c r="E25" s="38">
        <f t="shared" si="0"/>
        <v>119131756.96972327</v>
      </c>
      <c r="F25" s="38">
        <f t="shared" si="1"/>
        <v>76595528.85721162</v>
      </c>
      <c r="G25" s="38">
        <f t="shared" si="2"/>
        <v>34059300.74469996</v>
      </c>
      <c r="H25" s="18">
        <f t="shared" si="20"/>
        <v>0.0443113462726379</v>
      </c>
      <c r="I25" s="50">
        <f t="shared" si="30"/>
        <v>0.0672871114175429</v>
      </c>
      <c r="J25" s="3">
        <f t="shared" si="21"/>
        <v>299.6582493708311</v>
      </c>
      <c r="K25" s="12">
        <f t="shared" si="31"/>
        <v>1.0690884120490958</v>
      </c>
      <c r="L25" s="3">
        <f t="shared" si="22"/>
        <v>1689.244515725911</v>
      </c>
      <c r="M25" s="12">
        <v>0.718</v>
      </c>
      <c r="N25" s="37">
        <f t="shared" si="23"/>
        <v>141.45691342007655</v>
      </c>
      <c r="O25" s="1">
        <f t="shared" si="3"/>
        <v>9176.949498092325</v>
      </c>
      <c r="P25">
        <f t="shared" si="24"/>
        <v>95.79639606004145</v>
      </c>
      <c r="Q25" s="1">
        <f t="shared" si="25"/>
        <v>13.551062503420644</v>
      </c>
      <c r="R25" s="1">
        <f>+Q25*1000/'Material Properties'!AE$35</f>
        <v>11621.20708036458</v>
      </c>
      <c r="S25" s="1">
        <f t="shared" si="26"/>
        <v>116.2120708036458</v>
      </c>
      <c r="T25" s="1">
        <f t="shared" si="27"/>
        <v>-116.70722115414696</v>
      </c>
      <c r="U25">
        <f t="shared" si="4"/>
        <v>-7.407051058225683E-05</v>
      </c>
      <c r="V25">
        <f>+'Material Properties'!AE$31+'Material Properties'!AE$33</f>
        <v>0.00029034311030761144</v>
      </c>
      <c r="W25">
        <f t="shared" si="5"/>
        <v>0.0002162725997253546</v>
      </c>
      <c r="X25" s="1">
        <f>+'Volcano Summary'!E$12*10^9/Q25/3600/24/365</f>
        <v>0</v>
      </c>
      <c r="Y25" s="3">
        <f t="shared" si="6"/>
        <v>2</v>
      </c>
      <c r="Z25" s="1">
        <f>+Y25*'Volcano Summary'!B$19*'Volcano Summary'!B$20/1000</f>
        <v>81000</v>
      </c>
      <c r="AA25" s="1">
        <f t="shared" si="7"/>
        <v>5977391.070224455</v>
      </c>
      <c r="AB25" s="3">
        <f t="shared" si="8"/>
        <v>1660.3864083956819</v>
      </c>
      <c r="AC25" s="1">
        <f t="shared" si="9"/>
        <v>84773864.85716847</v>
      </c>
      <c r="AD25" s="36">
        <f t="shared" si="10"/>
        <v>23548.29579365791</v>
      </c>
      <c r="AE25" s="36">
        <f t="shared" si="28"/>
        <v>981.178991402413</v>
      </c>
      <c r="AG25" s="1">
        <f t="shared" si="11"/>
        <v>81000000</v>
      </c>
      <c r="AH25" s="1">
        <f t="shared" si="12"/>
        <v>81000</v>
      </c>
      <c r="AI25" s="1">
        <f t="shared" si="13"/>
        <v>81081000</v>
      </c>
      <c r="AJ25" s="1">
        <f t="shared" si="14"/>
        <v>950137438.2403343</v>
      </c>
      <c r="AK25" s="1">
        <f t="shared" si="15"/>
        <v>951087575.6785747</v>
      </c>
      <c r="AL25" s="39">
        <f>+AJ25/('Volcano Summary'!C$8)*10^6</f>
        <v>65.96127548232099</v>
      </c>
      <c r="AM25" s="1">
        <f t="shared" si="16"/>
        <v>981.178991402413</v>
      </c>
    </row>
    <row r="26" spans="1:39" ht="12.75" hidden="1">
      <c r="A26" s="1">
        <f t="shared" si="17"/>
        <v>5977391.070224455</v>
      </c>
      <c r="B26" s="1">
        <f t="shared" si="18"/>
        <v>1048.6531791202904</v>
      </c>
      <c r="C26" s="1">
        <v>102</v>
      </c>
      <c r="D26" s="12">
        <f t="shared" si="19"/>
        <v>11.396070970426017</v>
      </c>
      <c r="E26" s="38">
        <f t="shared" si="0"/>
        <v>120317176.78314711</v>
      </c>
      <c r="F26" s="38">
        <f t="shared" si="1"/>
        <v>77357692.19498636</v>
      </c>
      <c r="G26" s="38">
        <f t="shared" si="2"/>
        <v>34398207.60682564</v>
      </c>
      <c r="H26" s="18">
        <f t="shared" si="20"/>
        <v>0.04387477063784104</v>
      </c>
      <c r="I26" s="50">
        <f t="shared" si="30"/>
        <v>0.06707401410997225</v>
      </c>
      <c r="J26" s="3">
        <f t="shared" si="21"/>
        <v>295.7856984834346</v>
      </c>
      <c r="K26" s="12">
        <f t="shared" si="31"/>
        <v>1.0663130839131283</v>
      </c>
      <c r="L26" s="3">
        <f t="shared" si="22"/>
        <v>1684.8592770682053</v>
      </c>
      <c r="M26" s="12">
        <v>0.718</v>
      </c>
      <c r="N26" s="37">
        <f t="shared" si="23"/>
        <v>144.2860516884781</v>
      </c>
      <c r="O26" s="1">
        <f t="shared" si="3"/>
        <v>9272.962938685556</v>
      </c>
      <c r="P26">
        <f t="shared" si="24"/>
        <v>96.29622494514287</v>
      </c>
      <c r="Q26" s="1">
        <f t="shared" si="25"/>
        <v>13.894202089840197</v>
      </c>
      <c r="R26" s="1">
        <f>+Q26*1000/'Material Properties'!AE$35</f>
        <v>11915.47892733198</v>
      </c>
      <c r="S26" s="1">
        <f t="shared" si="26"/>
        <v>116.81842085619589</v>
      </c>
      <c r="T26" s="1">
        <f t="shared" si="27"/>
        <v>-111.7282146220366</v>
      </c>
      <c r="U26">
        <f t="shared" si="4"/>
        <v>-7.739816101210032E-05</v>
      </c>
      <c r="V26">
        <f>+'Material Properties'!AE$31+'Material Properties'!AE$33</f>
        <v>0.00029034311030761144</v>
      </c>
      <c r="W26">
        <f>+V26+U26</f>
        <v>0.00021294494929551114</v>
      </c>
      <c r="X26" s="1">
        <f>+'Volcano Summary'!E$12*10^9/Q26/3600/24/365</f>
        <v>0</v>
      </c>
      <c r="Y26" s="3">
        <f t="shared" si="6"/>
        <v>2</v>
      </c>
      <c r="Z26" s="1">
        <f>+Y26*'Volcano Summary'!B$19*'Volcano Summary'!B$20/1000</f>
        <v>81000</v>
      </c>
      <c r="AA26" s="1">
        <f t="shared" si="7"/>
        <v>5829769.818824595</v>
      </c>
      <c r="AB26" s="3">
        <f aca="true" t="shared" si="32" ref="AB26:AB175">+AA26/3600</f>
        <v>1619.380505229054</v>
      </c>
      <c r="AC26" s="1">
        <f t="shared" si="9"/>
        <v>90603634.67599306</v>
      </c>
      <c r="AD26" s="36">
        <f t="shared" si="10"/>
        <v>25167.676298886967</v>
      </c>
      <c r="AE26" s="36">
        <f t="shared" si="28"/>
        <v>1048.6531791202904</v>
      </c>
      <c r="AG26" s="1">
        <f t="shared" si="11"/>
        <v>81000000</v>
      </c>
      <c r="AH26" s="1">
        <f>+Z26</f>
        <v>81000</v>
      </c>
      <c r="AI26" s="1">
        <f>+AH26+AG26</f>
        <v>81081000</v>
      </c>
      <c r="AJ26" s="1">
        <f>+AJ25+AG26</f>
        <v>1031137438.2403343</v>
      </c>
      <c r="AK26" s="1">
        <f>+AK25+AI26</f>
        <v>1032168575.6785747</v>
      </c>
      <c r="AL26" s="39">
        <f>+AJ26/('Volcano Summary'!C$8)*10^6</f>
        <v>71.58452860237807</v>
      </c>
      <c r="AM26" s="1">
        <f t="shared" si="16"/>
        <v>1048.6531791202904</v>
      </c>
    </row>
    <row r="27" spans="1:39" ht="12.75" hidden="1">
      <c r="A27" s="1">
        <f aca="true" t="shared" si="33" ref="A27:A38">+AA26</f>
        <v>5829769.818824595</v>
      </c>
      <c r="B27" s="1">
        <f aca="true" t="shared" si="34" ref="B27:B38">+AE27</f>
        <v>1114.4923643520915</v>
      </c>
      <c r="C27" s="1">
        <v>104</v>
      </c>
      <c r="D27" s="12">
        <f t="shared" si="19"/>
        <v>11.507254783503184</v>
      </c>
      <c r="E27" s="38">
        <f t="shared" si="0"/>
        <v>121491030.69544244</v>
      </c>
      <c r="F27" s="38">
        <f t="shared" si="1"/>
        <v>78112419.25937626</v>
      </c>
      <c r="G27" s="38">
        <f t="shared" si="2"/>
        <v>34733807.82331008</v>
      </c>
      <c r="H27" s="18">
        <f t="shared" si="20"/>
        <v>0.04345084986879761</v>
      </c>
      <c r="I27" s="50">
        <f t="shared" si="30"/>
        <v>0.06686636151007823</v>
      </c>
      <c r="J27" s="3">
        <f t="shared" si="21"/>
        <v>292.04002352471565</v>
      </c>
      <c r="K27" s="12">
        <f t="shared" si="31"/>
        <v>1.0636286835260464</v>
      </c>
      <c r="L27" s="3">
        <f t="shared" si="22"/>
        <v>1680.6177114682198</v>
      </c>
      <c r="M27" s="12">
        <v>0.718</v>
      </c>
      <c r="N27" s="37">
        <f t="shared" si="23"/>
        <v>147.11518995687962</v>
      </c>
      <c r="O27" s="1">
        <f t="shared" si="3"/>
        <v>9368.253272905165</v>
      </c>
      <c r="P27">
        <f t="shared" si="24"/>
        <v>96.78973743587264</v>
      </c>
      <c r="Q27" s="1">
        <f t="shared" si="25"/>
        <v>14.239240608754907</v>
      </c>
      <c r="R27" s="1">
        <f>+Q27*1000/'Material Properties'!AE$35</f>
        <v>12211.37927300583</v>
      </c>
      <c r="S27" s="1">
        <f t="shared" si="26"/>
        <v>117.41710839428683</v>
      </c>
      <c r="T27" s="1">
        <f t="shared" si="27"/>
        <v>-106.93549249127977</v>
      </c>
      <c r="U27">
        <f t="shared" si="4"/>
        <v>-8.089649794105908E-05</v>
      </c>
      <c r="V27">
        <f>+'Material Properties'!AE$31+'Material Properties'!AE$33</f>
        <v>0.00029034311030761144</v>
      </c>
      <c r="W27">
        <f aca="true" t="shared" si="35" ref="W27:W38">+V27+U27</f>
        <v>0.00020944661236655236</v>
      </c>
      <c r="X27" s="1">
        <f>+'Volcano Summary'!E$12*10^9/Q27/3600/24/365</f>
        <v>0</v>
      </c>
      <c r="Y27" s="3">
        <f t="shared" si="6"/>
        <v>2</v>
      </c>
      <c r="Z27" s="1">
        <f>+Y27*'Volcano Summary'!B$19*'Volcano Summary'!B$20/1000</f>
        <v>81000</v>
      </c>
      <c r="AA27" s="1">
        <f t="shared" si="7"/>
        <v>5688505.604027624</v>
      </c>
      <c r="AB27" s="3">
        <f t="shared" si="32"/>
        <v>1580.140445563229</v>
      </c>
      <c r="AC27" s="1">
        <f aca="true" t="shared" si="36" ref="AC27:AC38">+AC26+AA27</f>
        <v>96292140.28002068</v>
      </c>
      <c r="AD27" s="36">
        <f aca="true" t="shared" si="37" ref="AD27:AD38">+AD26+AB27</f>
        <v>26747.816744450196</v>
      </c>
      <c r="AE27" s="36">
        <f t="shared" si="28"/>
        <v>1114.4923643520915</v>
      </c>
      <c r="AG27" s="1">
        <f t="shared" si="11"/>
        <v>81000000</v>
      </c>
      <c r="AH27" s="1">
        <f aca="true" t="shared" si="38" ref="AH27:AH38">+Z27</f>
        <v>81000</v>
      </c>
      <c r="AI27" s="1">
        <f aca="true" t="shared" si="39" ref="AI27:AI38">+AH27+AG27</f>
        <v>81081000</v>
      </c>
      <c r="AJ27" s="1">
        <f aca="true" t="shared" si="40" ref="AJ27:AJ38">+AJ26+AG27</f>
        <v>1112137438.2403343</v>
      </c>
      <c r="AK27" s="1">
        <f aca="true" t="shared" si="41" ref="AK27:AK38">+AK26+AI27</f>
        <v>1113249575.6785746</v>
      </c>
      <c r="AL27" s="39">
        <f>+AJ27/('Volcano Summary'!C$8)*10^6</f>
        <v>77.20778172243514</v>
      </c>
      <c r="AM27" s="1">
        <f t="shared" si="16"/>
        <v>1114.4923643520915</v>
      </c>
    </row>
    <row r="28" spans="1:39" ht="12.75" hidden="1">
      <c r="A28" s="1">
        <f t="shared" si="33"/>
        <v>5688505.604027624</v>
      </c>
      <c r="B28" s="1">
        <f t="shared" si="34"/>
        <v>1178.7656508327639</v>
      </c>
      <c r="C28" s="1">
        <v>106</v>
      </c>
      <c r="D28" s="12">
        <f t="shared" si="19"/>
        <v>11.617374563210365</v>
      </c>
      <c r="E28" s="38">
        <f t="shared" si="0"/>
        <v>122653650.78062211</v>
      </c>
      <c r="F28" s="38">
        <f t="shared" si="1"/>
        <v>78859923.55671474</v>
      </c>
      <c r="G28" s="38">
        <f t="shared" si="2"/>
        <v>35066196.33280739</v>
      </c>
      <c r="H28" s="18">
        <f t="shared" si="20"/>
        <v>0.04303898417663045</v>
      </c>
      <c r="I28" s="50">
        <f t="shared" si="30"/>
        <v>0.06666390988481824</v>
      </c>
      <c r="J28" s="3">
        <f t="shared" si="21"/>
        <v>288.4146962685011</v>
      </c>
      <c r="K28" s="12">
        <f t="shared" si="31"/>
        <v>1.0610305323257592</v>
      </c>
      <c r="L28" s="3">
        <f t="shared" si="22"/>
        <v>1676.5124264266396</v>
      </c>
      <c r="M28" s="12">
        <v>0.718</v>
      </c>
      <c r="N28" s="37">
        <f t="shared" si="23"/>
        <v>149.94432822528117</v>
      </c>
      <c r="O28" s="1">
        <f t="shared" si="3"/>
        <v>9462.839034305147</v>
      </c>
      <c r="P28">
        <f t="shared" si="24"/>
        <v>97.27712492824378</v>
      </c>
      <c r="Q28" s="1">
        <f t="shared" si="25"/>
        <v>14.586153149052267</v>
      </c>
      <c r="R28" s="1">
        <f>+Q28*1000/'Material Properties'!AE$35</f>
        <v>12508.886753954523</v>
      </c>
      <c r="S28" s="1">
        <f t="shared" si="26"/>
        <v>118.00836560334456</v>
      </c>
      <c r="T28" s="1">
        <f t="shared" si="27"/>
        <v>-102.3184458355679</v>
      </c>
      <c r="U28">
        <f t="shared" si="4"/>
        <v>-8.457928860305698E-05</v>
      </c>
      <c r="V28">
        <f>+'Material Properties'!AE$31+'Material Properties'!AE$33</f>
        <v>0.00029034311030761144</v>
      </c>
      <c r="W28">
        <f t="shared" si="35"/>
        <v>0.00020576382170455447</v>
      </c>
      <c r="X28" s="1">
        <f>+'Volcano Summary'!E$12*10^9/Q28/3600/24/365</f>
        <v>0</v>
      </c>
      <c r="Y28" s="3">
        <f t="shared" si="6"/>
        <v>2</v>
      </c>
      <c r="Z28" s="1">
        <f>+Y28*'Volcano Summary'!B$19*'Volcano Summary'!B$20/1000</f>
        <v>81000</v>
      </c>
      <c r="AA28" s="1">
        <f t="shared" si="7"/>
        <v>5553211.951930106</v>
      </c>
      <c r="AB28" s="3">
        <f t="shared" si="32"/>
        <v>1542.5588755361405</v>
      </c>
      <c r="AC28" s="1">
        <f t="shared" si="36"/>
        <v>101845352.23195079</v>
      </c>
      <c r="AD28" s="36">
        <f t="shared" si="37"/>
        <v>28290.375619986335</v>
      </c>
      <c r="AE28" s="36">
        <f t="shared" si="28"/>
        <v>1178.7656508327639</v>
      </c>
      <c r="AG28" s="1">
        <f t="shared" si="11"/>
        <v>81000000</v>
      </c>
      <c r="AH28" s="1">
        <f t="shared" si="38"/>
        <v>81000</v>
      </c>
      <c r="AI28" s="1">
        <f t="shared" si="39"/>
        <v>81081000</v>
      </c>
      <c r="AJ28" s="1">
        <f t="shared" si="40"/>
        <v>1193137438.2403343</v>
      </c>
      <c r="AK28" s="1">
        <f t="shared" si="41"/>
        <v>1194330575.6785746</v>
      </c>
      <c r="AL28" s="39">
        <f>+AJ28/('Volcano Summary'!C$8)*10^6</f>
        <v>82.83103484249222</v>
      </c>
      <c r="AM28" s="1">
        <f t="shared" si="16"/>
        <v>1178.7656508327639</v>
      </c>
    </row>
    <row r="29" spans="1:39" ht="12.75" hidden="1">
      <c r="A29" s="1">
        <f t="shared" si="33"/>
        <v>5553211.951930106</v>
      </c>
      <c r="B29" s="1">
        <f t="shared" si="34"/>
        <v>1241.5380177436302</v>
      </c>
      <c r="C29" s="1">
        <v>108</v>
      </c>
      <c r="D29" s="12">
        <f t="shared" si="19"/>
        <v>11.726460285670077</v>
      </c>
      <c r="E29" s="38">
        <f t="shared" si="0"/>
        <v>123805353.51990502</v>
      </c>
      <c r="F29" s="38">
        <f t="shared" si="1"/>
        <v>79600408.56797917</v>
      </c>
      <c r="G29" s="38">
        <f t="shared" si="2"/>
        <v>35395463.6160533</v>
      </c>
      <c r="H29" s="18">
        <f t="shared" si="20"/>
        <v>0.04263861283110369</v>
      </c>
      <c r="I29" s="50">
        <f t="shared" si="30"/>
        <v>0.06646643086216776</v>
      </c>
      <c r="J29" s="3">
        <f t="shared" si="21"/>
        <v>284.9036411797293</v>
      </c>
      <c r="K29" s="12">
        <f t="shared" si="31"/>
        <v>1.0585142761788062</v>
      </c>
      <c r="L29" s="3">
        <f t="shared" si="22"/>
        <v>1672.5365420671271</v>
      </c>
      <c r="M29" s="12">
        <v>0.718</v>
      </c>
      <c r="N29" s="37">
        <f t="shared" si="23"/>
        <v>152.77346649368266</v>
      </c>
      <c r="O29" s="1">
        <f t="shared" si="3"/>
        <v>9556.737947712807</v>
      </c>
      <c r="P29">
        <f t="shared" si="24"/>
        <v>97.75856968937714</v>
      </c>
      <c r="Q29" s="1">
        <f t="shared" si="25"/>
        <v>14.9349155709104</v>
      </c>
      <c r="R29" s="1">
        <f>+Q29*1000/'Material Properties'!AE$35</f>
        <v>12807.980668194807</v>
      </c>
      <c r="S29" s="1">
        <f t="shared" si="26"/>
        <v>118.59241359439636</v>
      </c>
      <c r="T29" s="1">
        <f t="shared" si="27"/>
        <v>-97.86726514166139</v>
      </c>
      <c r="U29">
        <f t="shared" si="4"/>
        <v>-8.846181221537367E-05</v>
      </c>
      <c r="V29">
        <f>+'Material Properties'!AE$31+'Material Properties'!AE$33</f>
        <v>0.00029034311030761144</v>
      </c>
      <c r="W29">
        <f t="shared" si="35"/>
        <v>0.00020188129809223777</v>
      </c>
      <c r="X29" s="1">
        <f>+'Volcano Summary'!E$12*10^9/Q29/3600/24/365</f>
        <v>0</v>
      </c>
      <c r="Y29" s="3">
        <f t="shared" si="6"/>
        <v>2</v>
      </c>
      <c r="Z29" s="1">
        <f>+Y29*'Volcano Summary'!B$19*'Volcano Summary'!B$20/1000</f>
        <v>81000</v>
      </c>
      <c r="AA29" s="1">
        <f t="shared" si="7"/>
        <v>5423532.50109886</v>
      </c>
      <c r="AB29" s="3">
        <f t="shared" si="32"/>
        <v>1506.5368058607944</v>
      </c>
      <c r="AC29" s="1">
        <f t="shared" si="36"/>
        <v>107268884.73304965</v>
      </c>
      <c r="AD29" s="36">
        <f t="shared" si="37"/>
        <v>29796.912425847127</v>
      </c>
      <c r="AE29" s="36">
        <f t="shared" si="28"/>
        <v>1241.5380177436302</v>
      </c>
      <c r="AG29" s="1">
        <f t="shared" si="11"/>
        <v>80999999.99999999</v>
      </c>
      <c r="AH29" s="1">
        <f t="shared" si="38"/>
        <v>81000</v>
      </c>
      <c r="AI29" s="1">
        <f t="shared" si="39"/>
        <v>81080999.99999999</v>
      </c>
      <c r="AJ29" s="1">
        <f t="shared" si="40"/>
        <v>1274137438.2403343</v>
      </c>
      <c r="AK29" s="1">
        <f t="shared" si="41"/>
        <v>1275411575.6785746</v>
      </c>
      <c r="AL29" s="39">
        <f>+AJ29/('Volcano Summary'!C$8)*10^6</f>
        <v>88.4542879625493</v>
      </c>
      <c r="AM29" s="1">
        <f t="shared" si="16"/>
        <v>1241.5380177436302</v>
      </c>
    </row>
    <row r="30" spans="1:39" ht="12.75" hidden="1">
      <c r="A30" s="1">
        <f t="shared" si="33"/>
        <v>5423532.50109886</v>
      </c>
      <c r="B30" s="1">
        <f t="shared" si="34"/>
        <v>1302.8706353183395</v>
      </c>
      <c r="C30" s="1">
        <v>110</v>
      </c>
      <c r="D30" s="12">
        <f t="shared" si="19"/>
        <v>11.834540545406394</v>
      </c>
      <c r="E30" s="38">
        <f t="shared" si="0"/>
        <v>124946440.80790187</v>
      </c>
      <c r="F30" s="38">
        <f t="shared" si="1"/>
        <v>80334068.39571573</v>
      </c>
      <c r="G30" s="38">
        <f t="shared" si="2"/>
        <v>35721695.98352956</v>
      </c>
      <c r="H30" s="18">
        <f t="shared" si="20"/>
        <v>0.04224921095006736</v>
      </c>
      <c r="I30" s="50">
        <f t="shared" si="30"/>
        <v>0.06627371019443722</v>
      </c>
      <c r="J30" s="3">
        <f t="shared" si="21"/>
        <v>281.5011962448408</v>
      </c>
      <c r="K30" s="12">
        <f t="shared" si="31"/>
        <v>1.0560758573088027</v>
      </c>
      <c r="L30" s="3">
        <f t="shared" si="22"/>
        <v>1668.6836467810385</v>
      </c>
      <c r="M30" s="12">
        <v>0.718</v>
      </c>
      <c r="N30" s="37">
        <f t="shared" si="23"/>
        <v>155.60260476208424</v>
      </c>
      <c r="O30" s="1">
        <f t="shared" si="3"/>
        <v>9649.966978616798</v>
      </c>
      <c r="P30">
        <f t="shared" si="24"/>
        <v>98.23424544738356</v>
      </c>
      <c r="Q30" s="1">
        <f t="shared" si="25"/>
        <v>15.285504468450798</v>
      </c>
      <c r="R30" s="1">
        <f>+Q30*1000/'Material Properties'!AE$35</f>
        <v>13108.6409431633</v>
      </c>
      <c r="S30" s="1">
        <f t="shared" si="26"/>
        <v>119.16946311966636</v>
      </c>
      <c r="T30" s="1">
        <f t="shared" si="27"/>
        <v>-93.57286607042602</v>
      </c>
      <c r="U30">
        <f t="shared" si="4"/>
        <v>-9.25610738474549E-05</v>
      </c>
      <c r="V30">
        <f>+'Material Properties'!AE$31+'Material Properties'!AE$33</f>
        <v>0.00029034311030761144</v>
      </c>
      <c r="W30">
        <f t="shared" si="35"/>
        <v>0.00019778203646015653</v>
      </c>
      <c r="X30" s="1">
        <f>+'Volcano Summary'!E$12*10^9/Q30/3600/24/365</f>
        <v>0</v>
      </c>
      <c r="Y30" s="3">
        <f t="shared" si="6"/>
        <v>2</v>
      </c>
      <c r="Z30" s="1">
        <f>+Y30*'Volcano Summary'!B$19*'Volcano Summary'!B$20/1000</f>
        <v>81000</v>
      </c>
      <c r="AA30" s="1">
        <f t="shared" si="7"/>
        <v>5299138.158454867</v>
      </c>
      <c r="AB30" s="3">
        <f t="shared" si="32"/>
        <v>1471.9828217930187</v>
      </c>
      <c r="AC30" s="1">
        <f t="shared" si="36"/>
        <v>112568022.89150451</v>
      </c>
      <c r="AD30" s="36">
        <f t="shared" si="37"/>
        <v>31268.895247640146</v>
      </c>
      <c r="AE30" s="36">
        <f t="shared" si="28"/>
        <v>1302.8706353183395</v>
      </c>
      <c r="AG30" s="1">
        <f t="shared" si="11"/>
        <v>81000000</v>
      </c>
      <c r="AH30" s="1">
        <f t="shared" si="38"/>
        <v>81000</v>
      </c>
      <c r="AI30" s="1">
        <f t="shared" si="39"/>
        <v>81081000</v>
      </c>
      <c r="AJ30" s="1">
        <f t="shared" si="40"/>
        <v>1355137438.2403343</v>
      </c>
      <c r="AK30" s="1">
        <f t="shared" si="41"/>
        <v>1356492575.6785746</v>
      </c>
      <c r="AL30" s="39">
        <f>+AJ30/('Volcano Summary'!C$8)*10^6</f>
        <v>94.07754108260637</v>
      </c>
      <c r="AM30" s="1">
        <f t="shared" si="16"/>
        <v>1302.8706353183395</v>
      </c>
    </row>
    <row r="31" spans="1:39" ht="12.75" hidden="1">
      <c r="A31" s="1">
        <f t="shared" si="33"/>
        <v>5299138.158454867</v>
      </c>
      <c r="B31" s="1">
        <f t="shared" si="34"/>
        <v>1362.8211511656302</v>
      </c>
      <c r="C31" s="1">
        <v>112</v>
      </c>
      <c r="D31" s="12">
        <f t="shared" si="19"/>
        <v>11.941642642883693</v>
      </c>
      <c r="E31" s="38">
        <f t="shared" si="0"/>
        <v>126077200.87682942</v>
      </c>
      <c r="F31" s="38">
        <f t="shared" si="1"/>
        <v>81061088.35826133</v>
      </c>
      <c r="G31" s="38">
        <f t="shared" si="2"/>
        <v>36044975.83969325</v>
      </c>
      <c r="H31" s="18">
        <f t="shared" si="20"/>
        <v>0.041870286605667426</v>
      </c>
      <c r="I31" s="50">
        <f t="shared" si="30"/>
        <v>0.06608554664192028</v>
      </c>
      <c r="J31" s="3">
        <f t="shared" si="21"/>
        <v>278.2020778389404</v>
      </c>
      <c r="K31" s="12">
        <f t="shared" si="31"/>
        <v>1.0537114891179074</v>
      </c>
      <c r="L31" s="3">
        <f t="shared" si="22"/>
        <v>1664.9477574433442</v>
      </c>
      <c r="M31" s="12">
        <v>0.718</v>
      </c>
      <c r="N31" s="37">
        <f t="shared" si="23"/>
        <v>158.4317430304858</v>
      </c>
      <c r="O31" s="1">
        <f t="shared" si="3"/>
        <v>9742.542378706907</v>
      </c>
      <c r="P31">
        <f t="shared" si="24"/>
        <v>98.70431793344659</v>
      </c>
      <c r="Q31" s="1">
        <f t="shared" si="25"/>
        <v>15.637897134831181</v>
      </c>
      <c r="R31" s="1">
        <f>+Q31*1000/'Material Properties'!AE$35</f>
        <v>13410.848105780588</v>
      </c>
      <c r="S31" s="1">
        <f t="shared" si="26"/>
        <v>119.73971523018382</v>
      </c>
      <c r="T31" s="1">
        <f t="shared" si="27"/>
        <v>-89.42682335580253</v>
      </c>
      <c r="U31">
        <f t="shared" si="4"/>
        <v>-9.689605562287194E-05</v>
      </c>
      <c r="V31">
        <f>+'Material Properties'!AE$31+'Material Properties'!AE$33</f>
        <v>0.00029034311030761144</v>
      </c>
      <c r="W31">
        <f t="shared" si="35"/>
        <v>0.0001934470546847395</v>
      </c>
      <c r="X31" s="1">
        <f>+'Volcano Summary'!E$12*10^9/Q31/3600/24/365</f>
        <v>0</v>
      </c>
      <c r="Y31" s="3">
        <f t="shared" si="6"/>
        <v>2</v>
      </c>
      <c r="Z31" s="1">
        <f>+Y31*'Volcano Summary'!B$19*'Volcano Summary'!B$20/1000</f>
        <v>81000</v>
      </c>
      <c r="AA31" s="1">
        <f t="shared" si="7"/>
        <v>5179724.569205924</v>
      </c>
      <c r="AB31" s="3">
        <f t="shared" si="32"/>
        <v>1438.8123803349788</v>
      </c>
      <c r="AC31" s="1">
        <f t="shared" si="36"/>
        <v>117747747.46071044</v>
      </c>
      <c r="AD31" s="36">
        <f t="shared" si="37"/>
        <v>32707.707627975124</v>
      </c>
      <c r="AE31" s="36">
        <f t="shared" si="28"/>
        <v>1362.8211511656302</v>
      </c>
      <c r="AG31" s="1">
        <f t="shared" si="11"/>
        <v>81000000</v>
      </c>
      <c r="AH31" s="1">
        <f t="shared" si="38"/>
        <v>81000</v>
      </c>
      <c r="AI31" s="1">
        <f t="shared" si="39"/>
        <v>81081000</v>
      </c>
      <c r="AJ31" s="1">
        <f t="shared" si="40"/>
        <v>1436137438.2403343</v>
      </c>
      <c r="AK31" s="1">
        <f t="shared" si="41"/>
        <v>1437573575.6785746</v>
      </c>
      <c r="AL31" s="39">
        <f>+AJ31/('Volcano Summary'!C$8)*10^6</f>
        <v>99.70079420266346</v>
      </c>
      <c r="AM31" s="1">
        <f t="shared" si="16"/>
        <v>1362.8211511656302</v>
      </c>
    </row>
    <row r="32" spans="1:39" ht="12.75" hidden="1">
      <c r="A32" s="1">
        <f t="shared" si="33"/>
        <v>5179724.569205924</v>
      </c>
      <c r="B32" s="1">
        <f t="shared" si="34"/>
        <v>1421.4439504862796</v>
      </c>
      <c r="C32" s="1">
        <v>114</v>
      </c>
      <c r="D32" s="12">
        <f t="shared" si="19"/>
        <v>12.047792665040703</v>
      </c>
      <c r="E32" s="38">
        <f t="shared" si="0"/>
        <v>127197909.14677118</v>
      </c>
      <c r="F32" s="38">
        <f t="shared" si="1"/>
        <v>81781645.53641708</v>
      </c>
      <c r="G32" s="38">
        <f t="shared" si="2"/>
        <v>36365381.926062986</v>
      </c>
      <c r="H32" s="18">
        <f t="shared" si="20"/>
        <v>0.041501378211036034</v>
      </c>
      <c r="I32" s="50">
        <f t="shared" si="30"/>
        <v>0.06590175096321996</v>
      </c>
      <c r="J32" s="3">
        <f t="shared" si="21"/>
        <v>275.00134914941</v>
      </c>
      <c r="K32" s="12">
        <f t="shared" si="31"/>
        <v>1.0514176335570773</v>
      </c>
      <c r="L32" s="3">
        <f t="shared" si="22"/>
        <v>1661.323283655837</v>
      </c>
      <c r="M32" s="12">
        <v>0.718</v>
      </c>
      <c r="N32" s="37">
        <f t="shared" si="23"/>
        <v>161.26088129888728</v>
      </c>
      <c r="O32" s="1">
        <f t="shared" si="3"/>
        <v>9834.479727928172</v>
      </c>
      <c r="P32">
        <f t="shared" si="24"/>
        <v>99.1689453807399</v>
      </c>
      <c r="Q32" s="1">
        <f t="shared" si="25"/>
        <v>15.992071529579333</v>
      </c>
      <c r="R32" s="1">
        <f>+Q32*1000/'Material Properties'!AE$35</f>
        <v>13714.583254437166</v>
      </c>
      <c r="S32" s="1">
        <f t="shared" si="26"/>
        <v>120.30336188102777</v>
      </c>
      <c r="T32" s="1">
        <f t="shared" si="27"/>
        <v>-85.42131181885611</v>
      </c>
      <c r="U32">
        <f t="shared" si="4"/>
        <v>-0.00010148801308697069</v>
      </c>
      <c r="V32">
        <f>+'Material Properties'!AE$31+'Material Properties'!AE$33</f>
        <v>0.00029034311030761144</v>
      </c>
      <c r="W32">
        <f t="shared" si="35"/>
        <v>0.00018885509722064075</v>
      </c>
      <c r="X32" s="1">
        <f>+'Volcano Summary'!E$12*10^9/Q32/3600/24/365</f>
        <v>0</v>
      </c>
      <c r="Y32" s="3">
        <f t="shared" si="6"/>
        <v>2</v>
      </c>
      <c r="Z32" s="1">
        <f>+Y32*'Volcano Summary'!B$19*'Volcano Summary'!B$20/1000</f>
        <v>81000</v>
      </c>
      <c r="AA32" s="1">
        <f t="shared" si="7"/>
        <v>5065009.861304109</v>
      </c>
      <c r="AB32" s="3">
        <f t="shared" si="32"/>
        <v>1406.9471836955859</v>
      </c>
      <c r="AC32" s="1">
        <f t="shared" si="36"/>
        <v>122812757.32201454</v>
      </c>
      <c r="AD32" s="36">
        <f t="shared" si="37"/>
        <v>34114.65481167071</v>
      </c>
      <c r="AE32" s="36">
        <f t="shared" si="28"/>
        <v>1421.4439504862796</v>
      </c>
      <c r="AG32" s="1">
        <f t="shared" si="11"/>
        <v>81000000</v>
      </c>
      <c r="AH32" s="1">
        <f t="shared" si="38"/>
        <v>81000</v>
      </c>
      <c r="AI32" s="1">
        <f t="shared" si="39"/>
        <v>81081000</v>
      </c>
      <c r="AJ32" s="1">
        <f t="shared" si="40"/>
        <v>1517137438.2403343</v>
      </c>
      <c r="AK32" s="1">
        <f t="shared" si="41"/>
        <v>1518654575.6785746</v>
      </c>
      <c r="AL32" s="39">
        <f>+AJ32/('Volcano Summary'!C$8)*10^6</f>
        <v>105.32404732272053</v>
      </c>
      <c r="AM32" s="1">
        <f t="shared" si="16"/>
        <v>1421.4439504862796</v>
      </c>
    </row>
    <row r="33" spans="1:39" ht="12.75" hidden="1">
      <c r="A33" s="1">
        <f t="shared" si="33"/>
        <v>5065009.861304109</v>
      </c>
      <c r="B33" s="1">
        <f t="shared" si="34"/>
        <v>1478.7903929685483</v>
      </c>
      <c r="C33" s="1">
        <v>116</v>
      </c>
      <c r="D33" s="12">
        <f t="shared" si="19"/>
        <v>12.153015559492998</v>
      </c>
      <c r="E33" s="38">
        <f t="shared" si="0"/>
        <v>128308829.0090909</v>
      </c>
      <c r="F33" s="38">
        <f t="shared" si="1"/>
        <v>82495909.27714227</v>
      </c>
      <c r="G33" s="38">
        <f t="shared" si="2"/>
        <v>36682989.54519366</v>
      </c>
      <c r="H33" s="18">
        <f t="shared" si="20"/>
        <v>0.0411420521558897</v>
      </c>
      <c r="I33" s="50">
        <f t="shared" si="30"/>
        <v>0.06572214500036178</v>
      </c>
      <c r="J33" s="3">
        <f t="shared" si="21"/>
        <v>271.894391740183</v>
      </c>
      <c r="K33" s="12">
        <f t="shared" si="31"/>
        <v>1.0491909807471314</v>
      </c>
      <c r="L33" s="3">
        <f t="shared" si="22"/>
        <v>1657.8049955467952</v>
      </c>
      <c r="M33" s="12">
        <v>0.718</v>
      </c>
      <c r="N33" s="37">
        <f t="shared" si="23"/>
        <v>164.0900195672889</v>
      </c>
      <c r="O33" s="1">
        <f t="shared" si="3"/>
        <v>9925.793973371916</v>
      </c>
      <c r="P33">
        <f t="shared" si="24"/>
        <v>99.62827898429198</v>
      </c>
      <c r="Q33" s="1">
        <f t="shared" si="25"/>
        <v>16.348006247987787</v>
      </c>
      <c r="R33" s="1">
        <f>+Q33*1000/'Material Properties'!AE$35</f>
        <v>14019.828032746747</v>
      </c>
      <c r="S33" s="1">
        <f t="shared" si="26"/>
        <v>120.8605864891961</v>
      </c>
      <c r="T33" s="1">
        <f t="shared" si="27"/>
        <v>-81.54905361844067</v>
      </c>
      <c r="U33">
        <f t="shared" si="4"/>
        <v>-0.00010636082650867753</v>
      </c>
      <c r="V33">
        <f>+'Material Properties'!AE$31+'Material Properties'!AE$33</f>
        <v>0.00029034311030761144</v>
      </c>
      <c r="W33">
        <f t="shared" si="35"/>
        <v>0.0001839822837989339</v>
      </c>
      <c r="X33" s="1">
        <f>+'Volcano Summary'!E$12*10^9/Q33/3600/24/365</f>
        <v>0</v>
      </c>
      <c r="Y33" s="3">
        <f t="shared" si="6"/>
        <v>2</v>
      </c>
      <c r="Z33" s="1">
        <f>+Y33*'Volcano Summary'!B$19*'Volcano Summary'!B$20/1000</f>
        <v>81000</v>
      </c>
      <c r="AA33" s="1">
        <f t="shared" si="7"/>
        <v>4954732.63046801</v>
      </c>
      <c r="AB33" s="3">
        <f t="shared" si="32"/>
        <v>1376.3146195744473</v>
      </c>
      <c r="AC33" s="1">
        <f t="shared" si="36"/>
        <v>127767489.95248255</v>
      </c>
      <c r="AD33" s="36">
        <f t="shared" si="37"/>
        <v>35490.96943124516</v>
      </c>
      <c r="AE33" s="36">
        <f t="shared" si="28"/>
        <v>1478.7903929685483</v>
      </c>
      <c r="AG33" s="1">
        <f t="shared" si="11"/>
        <v>80999999.99999999</v>
      </c>
      <c r="AH33" s="1">
        <f t="shared" si="38"/>
        <v>81000</v>
      </c>
      <c r="AI33" s="1">
        <f t="shared" si="39"/>
        <v>81080999.99999999</v>
      </c>
      <c r="AJ33" s="1">
        <f t="shared" si="40"/>
        <v>1598137438.2403343</v>
      </c>
      <c r="AK33" s="1">
        <f t="shared" si="41"/>
        <v>1599735575.6785746</v>
      </c>
      <c r="AL33" s="39">
        <f>+AJ33/('Volcano Summary'!C$8)*10^6</f>
        <v>110.94730044277762</v>
      </c>
      <c r="AM33" s="1">
        <f t="shared" si="16"/>
        <v>1478.7903929685483</v>
      </c>
    </row>
    <row r="34" spans="1:39" ht="12.75" hidden="1">
      <c r="A34" s="1">
        <f t="shared" si="33"/>
        <v>4954732.63046801</v>
      </c>
      <c r="B34" s="1">
        <f t="shared" si="34"/>
        <v>1534.9090288077844</v>
      </c>
      <c r="C34" s="1">
        <v>118</v>
      </c>
      <c r="D34" s="12">
        <f t="shared" si="19"/>
        <v>12.257335203001883</v>
      </c>
      <c r="E34" s="38">
        <f t="shared" si="0"/>
        <v>129410212.54931155</v>
      </c>
      <c r="F34" s="38">
        <f t="shared" si="1"/>
        <v>83204041.65832815</v>
      </c>
      <c r="G34" s="38">
        <f t="shared" si="2"/>
        <v>36997870.76734479</v>
      </c>
      <c r="H34" s="18">
        <f t="shared" si="20"/>
        <v>0.040791900663493925</v>
      </c>
      <c r="I34" s="50">
        <f t="shared" si="30"/>
        <v>0.0655465608483103</v>
      </c>
      <c r="J34" s="3">
        <f t="shared" si="21"/>
        <v>268.8768798957934</v>
      </c>
      <c r="K34" s="12">
        <f t="shared" si="31"/>
        <v>1.0470284305919855</v>
      </c>
      <c r="L34" s="3">
        <f t="shared" si="22"/>
        <v>1654.3879947184346</v>
      </c>
      <c r="M34" s="12">
        <v>0.718</v>
      </c>
      <c r="N34" s="37">
        <f t="shared" si="23"/>
        <v>166.91915783569038</v>
      </c>
      <c r="O34" s="1">
        <f t="shared" si="3"/>
        <v>10016.499465291488</v>
      </c>
      <c r="P34">
        <f t="shared" si="24"/>
        <v>100.08246332545721</v>
      </c>
      <c r="Q34" s="1">
        <f t="shared" si="25"/>
        <v>16.705680492406685</v>
      </c>
      <c r="R34" s="1">
        <f>+Q34*1000/'Material Properties'!AE$35</f>
        <v>14326.564604927395</v>
      </c>
      <c r="S34" s="1">
        <f t="shared" si="26"/>
        <v>121.41156444853725</v>
      </c>
      <c r="T34" s="1">
        <f t="shared" si="27"/>
        <v>-77.80327098182988</v>
      </c>
      <c r="U34">
        <f t="shared" si="4"/>
        <v>-0.00011154141937638415</v>
      </c>
      <c r="V34">
        <f>+'Material Properties'!AE$31+'Material Properties'!AE$33</f>
        <v>0.00029034311030761144</v>
      </c>
      <c r="W34">
        <f t="shared" si="35"/>
        <v>0.0001788016909312273</v>
      </c>
      <c r="X34" s="1">
        <f>+'Volcano Summary'!E$12*10^9/Q34/3600/24/365</f>
        <v>0</v>
      </c>
      <c r="Y34" s="3">
        <f t="shared" si="6"/>
        <v>2</v>
      </c>
      <c r="Z34" s="1">
        <f>+Y34*'Volcano Summary'!B$19*'Volcano Summary'!B$20/1000</f>
        <v>81000</v>
      </c>
      <c r="AA34" s="1">
        <f t="shared" si="7"/>
        <v>4848650.136509993</v>
      </c>
      <c r="AB34" s="3">
        <f t="shared" si="32"/>
        <v>1346.8472601416647</v>
      </c>
      <c r="AC34" s="1">
        <f t="shared" si="36"/>
        <v>132616140.08899255</v>
      </c>
      <c r="AD34" s="36">
        <f t="shared" si="37"/>
        <v>36837.816691386826</v>
      </c>
      <c r="AE34" s="36">
        <f t="shared" si="28"/>
        <v>1534.9090288077844</v>
      </c>
      <c r="AG34" s="1">
        <f t="shared" si="11"/>
        <v>81000000</v>
      </c>
      <c r="AH34" s="1">
        <f t="shared" si="38"/>
        <v>81000</v>
      </c>
      <c r="AI34" s="1">
        <f t="shared" si="39"/>
        <v>81081000</v>
      </c>
      <c r="AJ34" s="1">
        <f t="shared" si="40"/>
        <v>1679137438.2403343</v>
      </c>
      <c r="AK34" s="1">
        <f t="shared" si="41"/>
        <v>1680816575.6785746</v>
      </c>
      <c r="AL34" s="39">
        <f>+AJ34/('Volcano Summary'!C$8)*10^6</f>
        <v>116.57055356283469</v>
      </c>
      <c r="AM34" s="1">
        <f t="shared" si="16"/>
        <v>1534.9090288077844</v>
      </c>
    </row>
    <row r="35" spans="1:39" ht="12.75" hidden="1">
      <c r="A35" s="1">
        <f t="shared" si="33"/>
        <v>4848650.136509993</v>
      </c>
      <c r="B35" s="1">
        <f t="shared" si="34"/>
        <v>1589.8457960032883</v>
      </c>
      <c r="C35" s="1">
        <v>120</v>
      </c>
      <c r="D35" s="12">
        <f t="shared" si="19"/>
        <v>12.360774464742066</v>
      </c>
      <c r="E35" s="38">
        <f t="shared" si="0"/>
        <v>130502301.21508144</v>
      </c>
      <c r="F35" s="38">
        <f t="shared" si="1"/>
        <v>83906197.91826539</v>
      </c>
      <c r="G35" s="38">
        <f t="shared" si="2"/>
        <v>37310094.621449344</v>
      </c>
      <c r="H35" s="18">
        <f t="shared" si="20"/>
        <v>0.0404505398449104</v>
      </c>
      <c r="I35" s="50">
        <f t="shared" si="30"/>
        <v>0.06537484009980031</v>
      </c>
      <c r="J35" s="3">
        <f t="shared" si="21"/>
        <v>265.94475743116186</v>
      </c>
      <c r="K35" s="12">
        <f t="shared" si="31"/>
        <v>1.0449270761589995</v>
      </c>
      <c r="L35" s="3">
        <f t="shared" si="22"/>
        <v>1651.0676879865393</v>
      </c>
      <c r="M35" s="12">
        <v>0.718</v>
      </c>
      <c r="N35" s="37">
        <f t="shared" si="23"/>
        <v>169.74829610409188</v>
      </c>
      <c r="O35" s="1">
        <f t="shared" si="3"/>
        <v>10106.609990499937</v>
      </c>
      <c r="P35">
        <f t="shared" si="24"/>
        <v>100.53163676425416</v>
      </c>
      <c r="Q35" s="1">
        <f t="shared" si="25"/>
        <v>17.065074045287624</v>
      </c>
      <c r="R35" s="1">
        <f>+Q35*1000/'Material Properties'!AE$35</f>
        <v>14634.7756326843</v>
      </c>
      <c r="S35" s="1">
        <f t="shared" si="26"/>
        <v>121.9564636057025</v>
      </c>
      <c r="T35" s="1">
        <f t="shared" si="27"/>
        <v>-74.17764376183436</v>
      </c>
      <c r="U35">
        <f t="shared" si="4"/>
        <v>-0.00011706025957766507</v>
      </c>
      <c r="V35">
        <f>+'Material Properties'!AE$31+'Material Properties'!AE$33</f>
        <v>0.00029034311030761144</v>
      </c>
      <c r="W35">
        <f t="shared" si="35"/>
        <v>0.00017328285072994637</v>
      </c>
      <c r="X35" s="1">
        <f>+'Volcano Summary'!E$12*10^9/Q35/3600/24/365</f>
        <v>0</v>
      </c>
      <c r="Y35" s="3">
        <f t="shared" si="6"/>
        <v>2</v>
      </c>
      <c r="Z35" s="1">
        <f>+Y35*'Volcano Summary'!B$19*'Volcano Summary'!B$20/1000</f>
        <v>81000</v>
      </c>
      <c r="AA35" s="1">
        <f t="shared" si="7"/>
        <v>4746536.685691526</v>
      </c>
      <c r="AB35" s="3">
        <f t="shared" si="32"/>
        <v>1318.4824126920905</v>
      </c>
      <c r="AC35" s="1">
        <f t="shared" si="36"/>
        <v>137362676.77468407</v>
      </c>
      <c r="AD35" s="36">
        <f t="shared" si="37"/>
        <v>38156.29910407892</v>
      </c>
      <c r="AE35" s="36">
        <f t="shared" si="28"/>
        <v>1589.8457960032883</v>
      </c>
      <c r="AG35" s="1">
        <f t="shared" si="11"/>
        <v>81000000</v>
      </c>
      <c r="AH35" s="1">
        <f t="shared" si="38"/>
        <v>81000</v>
      </c>
      <c r="AI35" s="1">
        <f t="shared" si="39"/>
        <v>81081000</v>
      </c>
      <c r="AJ35" s="1">
        <f t="shared" si="40"/>
        <v>1760137438.2403343</v>
      </c>
      <c r="AK35" s="1">
        <f t="shared" si="41"/>
        <v>1761897575.6785746</v>
      </c>
      <c r="AL35" s="39">
        <f>+AJ35/('Volcano Summary'!C$8)*10^6</f>
        <v>122.19380668289178</v>
      </c>
      <c r="AM35" s="1">
        <f t="shared" si="16"/>
        <v>1589.8457960032883</v>
      </c>
    </row>
    <row r="36" spans="1:39" ht="12.75" hidden="1">
      <c r="A36" s="1">
        <f t="shared" si="33"/>
        <v>4746536.685691526</v>
      </c>
      <c r="B36" s="1">
        <f t="shared" si="34"/>
        <v>1643.5746178205202</v>
      </c>
      <c r="C36" s="1">
        <v>122</v>
      </c>
      <c r="D36" s="12">
        <f t="shared" si="19"/>
        <v>12.463355264843006</v>
      </c>
      <c r="E36" s="38">
        <f t="shared" si="0"/>
        <v>131585326.43424082</v>
      </c>
      <c r="F36" s="38">
        <f t="shared" si="1"/>
        <v>84602526.85302871</v>
      </c>
      <c r="G36" s="38">
        <f t="shared" si="2"/>
        <v>37619727.27181661</v>
      </c>
      <c r="H36" s="18">
        <f t="shared" si="20"/>
        <v>0.040117607929416446</v>
      </c>
      <c r="I36" s="51">
        <v>0.065</v>
      </c>
      <c r="J36" s="3">
        <f t="shared" si="21"/>
        <v>262.2644515412069</v>
      </c>
      <c r="K36" s="12">
        <f t="shared" si="31"/>
        <v>1.0422895236045318</v>
      </c>
      <c r="L36" s="3">
        <f t="shared" si="22"/>
        <v>1646.900145679132</v>
      </c>
      <c r="M36" s="12">
        <v>0.718</v>
      </c>
      <c r="N36" s="37">
        <f t="shared" si="23"/>
        <v>172.57743437249349</v>
      </c>
      <c r="O36" s="1">
        <f t="shared" si="3"/>
        <v>10222.56549340291</v>
      </c>
      <c r="P36">
        <f t="shared" si="24"/>
        <v>101.10670350378807</v>
      </c>
      <c r="Q36" s="1">
        <f t="shared" si="25"/>
        <v>17.44873548854414</v>
      </c>
      <c r="R36" s="1">
        <f>+Q36*1000/'Material Properties'!AE$35</f>
        <v>14963.798473491806</v>
      </c>
      <c r="S36" s="1">
        <f t="shared" si="26"/>
        <v>122.65408584829349</v>
      </c>
      <c r="T36" s="1">
        <f t="shared" si="27"/>
        <v>-69.64662258500448</v>
      </c>
      <c r="U36">
        <f t="shared" si="4"/>
        <v>-0.0001247755842753368</v>
      </c>
      <c r="V36">
        <f>+'Material Properties'!AE$31+'Material Properties'!AE$33</f>
        <v>0.00029034311030761144</v>
      </c>
      <c r="W36">
        <f t="shared" si="35"/>
        <v>0.00016556752603227463</v>
      </c>
      <c r="X36" s="1">
        <f>+'Volcano Summary'!E$12*10^9/Q36/3600/24/365</f>
        <v>0</v>
      </c>
      <c r="Y36" s="3">
        <f t="shared" si="6"/>
        <v>2</v>
      </c>
      <c r="Z36" s="1">
        <f>+Y36*'Volcano Summary'!B$19*'Volcano Summary'!B$20/1000</f>
        <v>81000</v>
      </c>
      <c r="AA36" s="1">
        <f t="shared" si="7"/>
        <v>4642170.205008841</v>
      </c>
      <c r="AB36" s="3">
        <f t="shared" si="32"/>
        <v>1289.491723613567</v>
      </c>
      <c r="AC36" s="1">
        <f t="shared" si="36"/>
        <v>142004846.9796929</v>
      </c>
      <c r="AD36" s="36">
        <f t="shared" si="37"/>
        <v>39445.790827692486</v>
      </c>
      <c r="AE36" s="36">
        <f t="shared" si="28"/>
        <v>1643.5746178205202</v>
      </c>
      <c r="AG36" s="1">
        <f t="shared" si="11"/>
        <v>81000000</v>
      </c>
      <c r="AH36" s="1">
        <f t="shared" si="38"/>
        <v>81000</v>
      </c>
      <c r="AI36" s="1">
        <f t="shared" si="39"/>
        <v>81081000</v>
      </c>
      <c r="AJ36" s="1">
        <f t="shared" si="40"/>
        <v>1841137438.2403343</v>
      </c>
      <c r="AK36" s="1">
        <f t="shared" si="41"/>
        <v>1842978575.6785746</v>
      </c>
      <c r="AL36" s="39">
        <f>+AJ36/('Volcano Summary'!C$8)*10^6</f>
        <v>127.81705980294885</v>
      </c>
      <c r="AM36" s="1">
        <f t="shared" si="16"/>
        <v>1643.5746178205202</v>
      </c>
    </row>
    <row r="37" spans="1:39" ht="12.75" hidden="1">
      <c r="A37" s="1">
        <f t="shared" si="33"/>
        <v>4642170.205008841</v>
      </c>
      <c r="B37" s="1">
        <f t="shared" si="34"/>
        <v>1696.2076104872656</v>
      </c>
      <c r="C37" s="1">
        <v>124</v>
      </c>
      <c r="D37" s="12">
        <f t="shared" si="19"/>
        <v>12.565098628628435</v>
      </c>
      <c r="E37" s="38">
        <f t="shared" si="0"/>
        <v>132659510.18747047</v>
      </c>
      <c r="F37" s="38">
        <f t="shared" si="1"/>
        <v>85293171.18466029</v>
      </c>
      <c r="G37" s="38">
        <f t="shared" si="2"/>
        <v>37926832.1818501</v>
      </c>
      <c r="H37" s="18">
        <f t="shared" si="20"/>
        <v>0.03979276365255068</v>
      </c>
      <c r="I37" s="50">
        <f aca="true" t="shared" si="42" ref="I37:I54">+I$36*LN(H$36)/LN(H37)</f>
        <v>0.06483608702807733</v>
      </c>
      <c r="J37" s="3">
        <f t="shared" si="21"/>
        <v>259.50070872644886</v>
      </c>
      <c r="K37" s="12">
        <f t="shared" si="31"/>
        <v>1.0403088412539552</v>
      </c>
      <c r="L37" s="3">
        <f t="shared" si="22"/>
        <v>1643.7705104119293</v>
      </c>
      <c r="M37" s="12">
        <v>0.718</v>
      </c>
      <c r="N37" s="37">
        <f t="shared" si="23"/>
        <v>175.40657264089495</v>
      </c>
      <c r="O37" s="1">
        <f t="shared" si="3"/>
        <v>10311.805164047013</v>
      </c>
      <c r="P37">
        <f t="shared" si="24"/>
        <v>101.54705886458265</v>
      </c>
      <c r="Q37" s="1">
        <f t="shared" si="25"/>
        <v>17.812021557199653</v>
      </c>
      <c r="R37" s="1">
        <f>+Q37*1000/'Material Properties'!AE$35</f>
        <v>15275.347669888142</v>
      </c>
      <c r="S37" s="1">
        <f t="shared" si="26"/>
        <v>123.18828766038824</v>
      </c>
      <c r="T37" s="1">
        <f t="shared" si="27"/>
        <v>-66.25848456212725</v>
      </c>
      <c r="U37">
        <f t="shared" si="4"/>
        <v>-0.00013124386309548196</v>
      </c>
      <c r="V37">
        <f>+'Material Properties'!AE$31+'Material Properties'!AE$33</f>
        <v>0.00029034311030761144</v>
      </c>
      <c r="W37">
        <f t="shared" si="35"/>
        <v>0.00015909924721212949</v>
      </c>
      <c r="X37" s="1">
        <f>+'Volcano Summary'!E$12*10^9/Q37/3600/24/365</f>
        <v>0</v>
      </c>
      <c r="Y37" s="3">
        <f t="shared" si="6"/>
        <v>2</v>
      </c>
      <c r="Z37" s="1">
        <f>+Y37*'Volcano Summary'!B$19*'Volcano Summary'!B$20/1000</f>
        <v>81000</v>
      </c>
      <c r="AA37" s="1">
        <f t="shared" si="7"/>
        <v>4547490.5664068</v>
      </c>
      <c r="AB37" s="3">
        <f t="shared" si="32"/>
        <v>1263.191824001889</v>
      </c>
      <c r="AC37" s="1">
        <f t="shared" si="36"/>
        <v>146552337.5460997</v>
      </c>
      <c r="AD37" s="36">
        <f t="shared" si="37"/>
        <v>40708.98265169437</v>
      </c>
      <c r="AE37" s="36">
        <f t="shared" si="28"/>
        <v>1696.2076104872656</v>
      </c>
      <c r="AG37" s="1">
        <f t="shared" si="11"/>
        <v>80999999.99999999</v>
      </c>
      <c r="AH37" s="1">
        <f t="shared" si="38"/>
        <v>81000</v>
      </c>
      <c r="AI37" s="1">
        <f t="shared" si="39"/>
        <v>81080999.99999999</v>
      </c>
      <c r="AJ37" s="1">
        <f t="shared" si="40"/>
        <v>1922137438.2403343</v>
      </c>
      <c r="AK37" s="1">
        <f t="shared" si="41"/>
        <v>1924059575.6785746</v>
      </c>
      <c r="AL37" s="39">
        <f>+AJ37/('Volcano Summary'!C$8)*10^6</f>
        <v>133.4403129230059</v>
      </c>
      <c r="AM37" s="1">
        <f t="shared" si="16"/>
        <v>1696.2076104872656</v>
      </c>
    </row>
    <row r="38" spans="1:39" ht="12.75" hidden="1">
      <c r="A38" s="1">
        <f t="shared" si="33"/>
        <v>4547490.5664068</v>
      </c>
      <c r="B38" s="1">
        <f t="shared" si="34"/>
        <v>1747.7838565638842</v>
      </c>
      <c r="C38" s="1">
        <v>126</v>
      </c>
      <c r="D38" s="12">
        <f t="shared" si="19"/>
        <v>12.666024736934256</v>
      </c>
      <c r="E38" s="38">
        <f t="shared" si="0"/>
        <v>133725065.53953691</v>
      </c>
      <c r="F38" s="38">
        <f t="shared" si="1"/>
        <v>85978267.90273273</v>
      </c>
      <c r="G38" s="38">
        <f t="shared" si="2"/>
        <v>38231470.26592855</v>
      </c>
      <c r="H38" s="18">
        <f t="shared" si="20"/>
        <v>0.03947568478545561</v>
      </c>
      <c r="I38" s="50">
        <f t="shared" si="42"/>
        <v>0.06467560173463979</v>
      </c>
      <c r="J38" s="3">
        <f t="shared" si="21"/>
        <v>256.8113667386307</v>
      </c>
      <c r="K38" s="12">
        <f t="shared" si="31"/>
        <v>1.0383814794960189</v>
      </c>
      <c r="L38" s="3">
        <f t="shared" si="22"/>
        <v>1640.7251259117143</v>
      </c>
      <c r="M38" s="12">
        <v>0.718</v>
      </c>
      <c r="N38" s="37">
        <f t="shared" si="23"/>
        <v>178.23571090929647</v>
      </c>
      <c r="O38" s="1">
        <f t="shared" si="3"/>
        <v>10400.486361958181</v>
      </c>
      <c r="P38">
        <f t="shared" si="24"/>
        <v>101.98277482966513</v>
      </c>
      <c r="Q38" s="1">
        <f t="shared" si="25"/>
        <v>18.17697237226807</v>
      </c>
      <c r="R38" s="1">
        <f>+Q38*1000/'Material Properties'!AE$35</f>
        <v>15588.324530188755</v>
      </c>
      <c r="S38" s="1">
        <f t="shared" si="26"/>
        <v>123.7168613507044</v>
      </c>
      <c r="T38" s="1">
        <f t="shared" si="27"/>
        <v>-62.97345777878354</v>
      </c>
      <c r="U38">
        <f t="shared" si="4"/>
        <v>-0.00013818949849015648</v>
      </c>
      <c r="V38">
        <f>+'Material Properties'!AE$31+'Material Properties'!AE$33</f>
        <v>0.00029034311030761144</v>
      </c>
      <c r="W38">
        <f t="shared" si="35"/>
        <v>0.00015215361181745497</v>
      </c>
      <c r="X38" s="1">
        <f>+'Volcano Summary'!E$12*10^9/Q38/3600/24/365</f>
        <v>0</v>
      </c>
      <c r="Y38" s="3">
        <f t="shared" si="6"/>
        <v>2</v>
      </c>
      <c r="Z38" s="1">
        <f>+Y38*'Volcano Summary'!B$19*'Volcano Summary'!B$20/1000</f>
        <v>81000</v>
      </c>
      <c r="AA38" s="1">
        <f t="shared" si="7"/>
        <v>4456187.661019866</v>
      </c>
      <c r="AB38" s="3">
        <f t="shared" si="32"/>
        <v>1237.8299058388518</v>
      </c>
      <c r="AC38" s="1">
        <f t="shared" si="36"/>
        <v>151008525.20711955</v>
      </c>
      <c r="AD38" s="36">
        <f t="shared" si="37"/>
        <v>41946.81255753322</v>
      </c>
      <c r="AE38" s="36">
        <f t="shared" si="28"/>
        <v>1747.7838565638842</v>
      </c>
      <c r="AG38" s="1">
        <f t="shared" si="11"/>
        <v>80999999.99999999</v>
      </c>
      <c r="AH38" s="1">
        <f t="shared" si="38"/>
        <v>81000</v>
      </c>
      <c r="AI38" s="1">
        <f t="shared" si="39"/>
        <v>81080999.99999999</v>
      </c>
      <c r="AJ38" s="1">
        <f t="shared" si="40"/>
        <v>2003137438.2403343</v>
      </c>
      <c r="AK38" s="1">
        <f t="shared" si="41"/>
        <v>2005140575.6785746</v>
      </c>
      <c r="AL38" s="39">
        <f>+AJ38/('Volcano Summary'!C$8)*10^6</f>
        <v>139.06356604306302</v>
      </c>
      <c r="AM38" s="1">
        <f t="shared" si="16"/>
        <v>1747.7838565638842</v>
      </c>
    </row>
    <row r="39" spans="1:39" ht="12.75" hidden="1">
      <c r="A39" s="1">
        <f>+AA38</f>
        <v>4456187.661019866</v>
      </c>
      <c r="B39" s="1">
        <f>+AE39</f>
        <v>1798.3404652416928</v>
      </c>
      <c r="C39" s="1">
        <v>128</v>
      </c>
      <c r="D39" s="12">
        <f t="shared" si="19"/>
        <v>12.766152972845846</v>
      </c>
      <c r="E39" s="38">
        <f t="shared" si="0"/>
        <v>134782197.13273454</v>
      </c>
      <c r="F39" s="38">
        <f t="shared" si="1"/>
        <v>86657948.58160676</v>
      </c>
      <c r="G39" s="38">
        <f t="shared" si="2"/>
        <v>38533700.030479</v>
      </c>
      <c r="H39" s="18">
        <f t="shared" si="20"/>
        <v>0.03916606679110938</v>
      </c>
      <c r="I39" s="50">
        <f t="shared" si="42"/>
        <v>0.06451841780024227</v>
      </c>
      <c r="J39" s="3">
        <f t="shared" si="21"/>
        <v>254.19326608209892</v>
      </c>
      <c r="K39" s="12">
        <f t="shared" si="31"/>
        <v>1.0365051740255045</v>
      </c>
      <c r="L39" s="3">
        <f t="shared" si="22"/>
        <v>1637.7604143965852</v>
      </c>
      <c r="M39" s="12">
        <v>0.718</v>
      </c>
      <c r="N39" s="37">
        <f t="shared" si="23"/>
        <v>181.06484917769802</v>
      </c>
      <c r="O39" s="1">
        <f t="shared" si="3"/>
        <v>10488.62094720508</v>
      </c>
      <c r="P39">
        <f t="shared" si="24"/>
        <v>102.41396851604316</v>
      </c>
      <c r="Q39" s="1">
        <f t="shared" si="25"/>
        <v>18.543569763046868</v>
      </c>
      <c r="R39" s="1">
        <f>+Q39*1000/'Material Properties'!AE$35</f>
        <v>15902.71347144604</v>
      </c>
      <c r="S39" s="1">
        <f t="shared" si="26"/>
        <v>124.2399489956722</v>
      </c>
      <c r="T39" s="1">
        <f t="shared" si="27"/>
        <v>-59.78672893962971</v>
      </c>
      <c r="U39">
        <f t="shared" si="4"/>
        <v>-0.0001456677956894839</v>
      </c>
      <c r="V39">
        <f>+'Material Properties'!AE$31+'Material Properties'!AE$33</f>
        <v>0.00029034311030761144</v>
      </c>
      <c r="W39">
        <f>+V39+U39</f>
        <v>0.00014467531461812754</v>
      </c>
      <c r="X39" s="1">
        <f>+'Volcano Summary'!E$12*10^9/Q39/3600/24/365</f>
        <v>0</v>
      </c>
      <c r="Y39" s="3">
        <f t="shared" si="6"/>
        <v>2</v>
      </c>
      <c r="Z39" s="1">
        <f>+Y39*'Volcano Summary'!B$19*'Volcano Summary'!B$20/1000</f>
        <v>81000</v>
      </c>
      <c r="AA39" s="1">
        <f t="shared" si="7"/>
        <v>4368090.989762642</v>
      </c>
      <c r="AB39" s="3">
        <f t="shared" si="32"/>
        <v>1213.3586082674008</v>
      </c>
      <c r="AC39" s="1">
        <f>+AC38+AA39</f>
        <v>155376616.1968822</v>
      </c>
      <c r="AD39" s="36">
        <f>+AD38+AB39</f>
        <v>43160.171165800624</v>
      </c>
      <c r="AE39" s="36">
        <f t="shared" si="28"/>
        <v>1798.3404652416928</v>
      </c>
      <c r="AG39" s="1">
        <f t="shared" si="11"/>
        <v>81000000</v>
      </c>
      <c r="AH39" s="1">
        <f>+Z39</f>
        <v>81000</v>
      </c>
      <c r="AI39" s="1">
        <f>+AH39+AG39</f>
        <v>81081000</v>
      </c>
      <c r="AJ39" s="1">
        <f>+AJ38+AG39</f>
        <v>2084137438.2403343</v>
      </c>
      <c r="AK39" s="1">
        <f>+AK38+AI39</f>
        <v>2086221575.6785746</v>
      </c>
      <c r="AL39" s="39">
        <f>+AJ39/('Volcano Summary'!C$8)*10^6</f>
        <v>144.68681916312008</v>
      </c>
      <c r="AM39" s="1">
        <f t="shared" si="16"/>
        <v>1798.3404652416928</v>
      </c>
    </row>
    <row r="40" spans="1:39" ht="12.75" hidden="1">
      <c r="A40" s="1">
        <f aca="true" t="shared" si="43" ref="A40:A57">+AA39</f>
        <v>4368090.989762642</v>
      </c>
      <c r="B40" s="1">
        <f aca="true" t="shared" si="44" ref="B40:B57">+AE40</f>
        <v>1847.9127004041936</v>
      </c>
      <c r="C40" s="1">
        <v>130</v>
      </c>
      <c r="D40" s="12">
        <f t="shared" si="19"/>
        <v>12.865501965161373</v>
      </c>
      <c r="E40" s="38">
        <f t="shared" si="0"/>
        <v>135831101.64576143</v>
      </c>
      <c r="F40" s="38">
        <f t="shared" si="1"/>
        <v>87332339.67546454</v>
      </c>
      <c r="G40" s="38">
        <f t="shared" si="2"/>
        <v>38833577.70516766</v>
      </c>
      <c r="H40" s="18">
        <f t="shared" si="20"/>
        <v>0.03886362159470771</v>
      </c>
      <c r="I40" s="50">
        <f t="shared" si="42"/>
        <v>0.06436441548807957</v>
      </c>
      <c r="J40" s="3">
        <f t="shared" si="21"/>
        <v>251.64342876932685</v>
      </c>
      <c r="K40" s="12">
        <f t="shared" si="31"/>
        <v>1.0346777906180178</v>
      </c>
      <c r="L40" s="3">
        <f t="shared" si="22"/>
        <v>1634.8730036226636</v>
      </c>
      <c r="M40" s="12">
        <v>0.718</v>
      </c>
      <c r="N40" s="37">
        <f t="shared" si="23"/>
        <v>183.89398744609957</v>
      </c>
      <c r="O40" s="1">
        <f t="shared" si="3"/>
        <v>10576.220350052821</v>
      </c>
      <c r="P40">
        <f t="shared" si="24"/>
        <v>102.8407523798461</v>
      </c>
      <c r="Q40" s="1">
        <f t="shared" si="25"/>
        <v>18.911796027086854</v>
      </c>
      <c r="R40" s="1">
        <f>+Q40*1000/'Material Properties'!AE$35</f>
        <v>16218.499312280108</v>
      </c>
      <c r="S40" s="1">
        <f t="shared" si="26"/>
        <v>124.7576870175393</v>
      </c>
      <c r="T40" s="1">
        <f t="shared" si="27"/>
        <v>-56.69378370667664</v>
      </c>
      <c r="U40">
        <f t="shared" si="4"/>
        <v>-0.0001537429338919976</v>
      </c>
      <c r="V40">
        <f>+'Material Properties'!AE$31+'Material Properties'!AE$33</f>
        <v>0.00029034311030761144</v>
      </c>
      <c r="W40">
        <f aca="true" t="shared" si="45" ref="W40:W57">+V40+U40</f>
        <v>0.00013660017641561385</v>
      </c>
      <c r="X40" s="1">
        <f>+'Volcano Summary'!E$12*10^9/Q40/3600/24/365</f>
        <v>0</v>
      </c>
      <c r="Y40" s="3">
        <f t="shared" si="6"/>
        <v>2</v>
      </c>
      <c r="Z40" s="1">
        <f>+Y40*'Volcano Summary'!B$19*'Volcano Summary'!B$20/1000</f>
        <v>81000</v>
      </c>
      <c r="AA40" s="1">
        <f t="shared" si="7"/>
        <v>4283041.118040078</v>
      </c>
      <c r="AB40" s="3">
        <f t="shared" si="32"/>
        <v>1189.7336439000217</v>
      </c>
      <c r="AC40" s="1">
        <f aca="true" t="shared" si="46" ref="AC40:AC57">+AC39+AA40</f>
        <v>159659657.31492227</v>
      </c>
      <c r="AD40" s="36">
        <f aca="true" t="shared" si="47" ref="AD40:AD57">+AD39+AB40</f>
        <v>44349.904809700645</v>
      </c>
      <c r="AE40" s="36">
        <f t="shared" si="28"/>
        <v>1847.9127004041936</v>
      </c>
      <c r="AG40" s="1">
        <f t="shared" si="11"/>
        <v>80999999.99999999</v>
      </c>
      <c r="AH40" s="1">
        <f aca="true" t="shared" si="48" ref="AH40:AH57">+Z40</f>
        <v>81000</v>
      </c>
      <c r="AI40" s="1">
        <f aca="true" t="shared" si="49" ref="AI40:AI57">+AH40+AG40</f>
        <v>81080999.99999999</v>
      </c>
      <c r="AJ40" s="1">
        <f aca="true" t="shared" si="50" ref="AJ40:AJ57">+AJ39+AG40</f>
        <v>2165137438.240334</v>
      </c>
      <c r="AK40" s="1">
        <f aca="true" t="shared" si="51" ref="AK40:AK57">+AK39+AI40</f>
        <v>2167302575.6785746</v>
      </c>
      <c r="AL40" s="39">
        <f>+AJ40/('Volcano Summary'!C$8)*10^6</f>
        <v>150.31007228317716</v>
      </c>
      <c r="AM40" s="1">
        <f t="shared" si="16"/>
        <v>1847.9127004041936</v>
      </c>
    </row>
    <row r="41" spans="1:39" ht="12.75" hidden="1">
      <c r="A41" s="1">
        <f t="shared" si="43"/>
        <v>4283041.118040078</v>
      </c>
      <c r="B41" s="1">
        <f t="shared" si="44"/>
        <v>1896.5340985862024</v>
      </c>
      <c r="C41" s="1">
        <v>132</v>
      </c>
      <c r="D41" s="12">
        <f t="shared" si="19"/>
        <v>12.964089628857149</v>
      </c>
      <c r="E41" s="38">
        <f t="shared" si="0"/>
        <v>136871968.22094378</v>
      </c>
      <c r="F41" s="38">
        <f t="shared" si="1"/>
        <v>88001562.79299271</v>
      </c>
      <c r="G41" s="38">
        <f t="shared" si="2"/>
        <v>39131157.365041666</v>
      </c>
      <c r="H41" s="18">
        <f t="shared" si="20"/>
        <v>0.038568076456910266</v>
      </c>
      <c r="I41" s="50">
        <f t="shared" si="42"/>
        <v>0.06421348120413246</v>
      </c>
      <c r="J41" s="3">
        <f t="shared" si="21"/>
        <v>249.15904526453517</v>
      </c>
      <c r="K41" s="12">
        <f t="shared" si="31"/>
        <v>1.032897315772917</v>
      </c>
      <c r="L41" s="3">
        <f t="shared" si="22"/>
        <v>1632.0597120991781</v>
      </c>
      <c r="M41" s="12">
        <v>0.718</v>
      </c>
      <c r="N41" s="37">
        <f t="shared" si="23"/>
        <v>186.7231257145011</v>
      </c>
      <c r="O41" s="1">
        <f t="shared" si="3"/>
        <v>10663.295592819908</v>
      </c>
      <c r="P41">
        <f t="shared" si="24"/>
        <v>103.2632344681296</v>
      </c>
      <c r="Q41" s="1">
        <f t="shared" si="25"/>
        <v>19.281633911278565</v>
      </c>
      <c r="R41" s="1">
        <f>+Q41*1000/'Material Properties'!AE$35</f>
        <v>16535.6672566587</v>
      </c>
      <c r="S41" s="1">
        <f t="shared" si="26"/>
        <v>125.27020648983864</v>
      </c>
      <c r="T41" s="1">
        <f t="shared" si="27"/>
        <v>-53.690383709182925</v>
      </c>
      <c r="U41">
        <f t="shared" si="4"/>
        <v>-0.00016248982101086466</v>
      </c>
      <c r="V41">
        <f>+'Material Properties'!AE$31+'Material Properties'!AE$33</f>
        <v>0.00029034311030761144</v>
      </c>
      <c r="W41">
        <f t="shared" si="45"/>
        <v>0.00012785328929674678</v>
      </c>
      <c r="X41" s="1">
        <f>+'Volcano Summary'!E$12*10^9/Q41/3600/24/365</f>
        <v>0</v>
      </c>
      <c r="Y41" s="3">
        <f aca="true" t="shared" si="52" ref="Y41:Y89">+C42-C41</f>
        <v>2</v>
      </c>
      <c r="Z41" s="1">
        <f>+Y41*'Volcano Summary'!B$19*'Volcano Summary'!B$20/1000</f>
        <v>81000</v>
      </c>
      <c r="AA41" s="1">
        <f t="shared" si="7"/>
        <v>4200888.802925565</v>
      </c>
      <c r="AB41" s="3">
        <f t="shared" si="32"/>
        <v>1166.9135563682125</v>
      </c>
      <c r="AC41" s="1">
        <f t="shared" si="46"/>
        <v>163860546.11784783</v>
      </c>
      <c r="AD41" s="36">
        <f t="shared" si="47"/>
        <v>45516.81836606886</v>
      </c>
      <c r="AE41" s="36">
        <f t="shared" si="28"/>
        <v>1896.5340985862024</v>
      </c>
      <c r="AG41" s="1">
        <f t="shared" si="11"/>
        <v>81000000</v>
      </c>
      <c r="AH41" s="1">
        <f t="shared" si="48"/>
        <v>81000</v>
      </c>
      <c r="AI41" s="1">
        <f t="shared" si="49"/>
        <v>81081000</v>
      </c>
      <c r="AJ41" s="1">
        <f t="shared" si="50"/>
        <v>2246137438.240334</v>
      </c>
      <c r="AK41" s="1">
        <f t="shared" si="51"/>
        <v>2248383575.6785746</v>
      </c>
      <c r="AL41" s="39">
        <f>+AJ41/('Volcano Summary'!C$8)*10^6</f>
        <v>155.93332540323422</v>
      </c>
      <c r="AM41" s="1">
        <f t="shared" si="16"/>
        <v>1896.5340985862024</v>
      </c>
    </row>
    <row r="42" spans="1:39" ht="12.75" hidden="1">
      <c r="A42" s="1">
        <f t="shared" si="43"/>
        <v>4200888.802925565</v>
      </c>
      <c r="B42" s="1">
        <f t="shared" si="44"/>
        <v>1944.2365777650778</v>
      </c>
      <c r="C42" s="1">
        <v>134</v>
      </c>
      <c r="D42" s="12">
        <f t="shared" si="19"/>
        <v>13.061933202803933</v>
      </c>
      <c r="E42" s="38">
        <f t="shared" si="0"/>
        <v>137904978.86243594</v>
      </c>
      <c r="F42" s="38">
        <f t="shared" si="1"/>
        <v>88665734.9534044</v>
      </c>
      <c r="G42" s="38">
        <f t="shared" si="2"/>
        <v>39426491.04437285</v>
      </c>
      <c r="H42" s="18">
        <f t="shared" si="20"/>
        <v>0.03827917293993417</v>
      </c>
      <c r="I42" s="50">
        <f t="shared" si="42"/>
        <v>0.06406550709295908</v>
      </c>
      <c r="J42" s="3">
        <f t="shared" si="21"/>
        <v>246.737462549596</v>
      </c>
      <c r="K42" s="12">
        <f t="shared" si="31"/>
        <v>1.031161848160544</v>
      </c>
      <c r="L42" s="3">
        <f t="shared" si="22"/>
        <v>1629.3175355744113</v>
      </c>
      <c r="M42" s="12">
        <v>0.718</v>
      </c>
      <c r="N42" s="37">
        <f t="shared" si="23"/>
        <v>189.55226398290262</v>
      </c>
      <c r="O42" s="1">
        <f t="shared" si="3"/>
        <v>10749.857310313102</v>
      </c>
      <c r="P42">
        <f t="shared" si="24"/>
        <v>103.68151865358215</v>
      </c>
      <c r="Q42" s="1">
        <f t="shared" si="25"/>
        <v>19.653066593972046</v>
      </c>
      <c r="R42" s="1">
        <f>+Q42*1000/'Material Properties'!AE$35</f>
        <v>16854.20287856338</v>
      </c>
      <c r="S42" s="1">
        <f t="shared" si="26"/>
        <v>125.77763342211479</v>
      </c>
      <c r="T42" s="1">
        <f t="shared" si="27"/>
        <v>-50.77254564888153</v>
      </c>
      <c r="U42">
        <f t="shared" si="4"/>
        <v>-0.0001719964338774909</v>
      </c>
      <c r="V42">
        <f>+'Material Properties'!AE$31+'Material Properties'!AE$33</f>
        <v>0.00029034311030761144</v>
      </c>
      <c r="W42">
        <f t="shared" si="45"/>
        <v>0.00011834667643012054</v>
      </c>
      <c r="X42" s="1">
        <f>+'Volcano Summary'!E$12*10^9/Q42/3600/24/365</f>
        <v>0</v>
      </c>
      <c r="Y42" s="3">
        <f t="shared" si="52"/>
        <v>2</v>
      </c>
      <c r="Z42" s="1">
        <f>+Y42*'Volcano Summary'!B$19*'Volcano Summary'!B$20/1000</f>
        <v>81000</v>
      </c>
      <c r="AA42" s="1">
        <f t="shared" si="7"/>
        <v>4121494.201054821</v>
      </c>
      <c r="AB42" s="3">
        <f t="shared" si="32"/>
        <v>1144.8595002930058</v>
      </c>
      <c r="AC42" s="1">
        <f t="shared" si="46"/>
        <v>167982040.31890264</v>
      </c>
      <c r="AD42" s="36">
        <f t="shared" si="47"/>
        <v>46661.67786636187</v>
      </c>
      <c r="AE42" s="36">
        <f t="shared" si="28"/>
        <v>1944.2365777650778</v>
      </c>
      <c r="AG42" s="1">
        <f t="shared" si="11"/>
        <v>81000000</v>
      </c>
      <c r="AH42" s="1">
        <f t="shared" si="48"/>
        <v>81000</v>
      </c>
      <c r="AI42" s="1">
        <f t="shared" si="49"/>
        <v>81081000</v>
      </c>
      <c r="AJ42" s="1">
        <f t="shared" si="50"/>
        <v>2327137438.240334</v>
      </c>
      <c r="AK42" s="1">
        <f t="shared" si="51"/>
        <v>2329464575.6785746</v>
      </c>
      <c r="AL42" s="39">
        <f>+AJ42/('Volcano Summary'!C$8)*10^6</f>
        <v>161.5565785232913</v>
      </c>
      <c r="AM42" s="1">
        <f t="shared" si="16"/>
        <v>1944.2365777650778</v>
      </c>
    </row>
    <row r="43" spans="1:39" ht="12.75" hidden="1">
      <c r="A43" s="1">
        <f t="shared" si="43"/>
        <v>4121494.201054821</v>
      </c>
      <c r="B43" s="1">
        <f t="shared" si="44"/>
        <v>1991.050537819536</v>
      </c>
      <c r="C43" s="1">
        <v>136</v>
      </c>
      <c r="D43" s="12">
        <f t="shared" si="19"/>
        <v>13.159049284959082</v>
      </c>
      <c r="E43" s="38">
        <f t="shared" si="0"/>
        <v>138930308.80777153</v>
      </c>
      <c r="F43" s="38">
        <f t="shared" si="1"/>
        <v>89324968.82532719</v>
      </c>
      <c r="G43" s="38">
        <f t="shared" si="2"/>
        <v>39719628.84288284</v>
      </c>
      <c r="H43" s="18">
        <f t="shared" si="20"/>
        <v>0.03799666595758591</v>
      </c>
      <c r="I43" s="50">
        <f t="shared" si="42"/>
        <v>0.06392039066575247</v>
      </c>
      <c r="J43" s="3">
        <f t="shared" si="21"/>
        <v>244.37617320049895</v>
      </c>
      <c r="K43" s="12">
        <f t="shared" si="31"/>
        <v>1.029469590793691</v>
      </c>
      <c r="L43" s="3">
        <f t="shared" si="22"/>
        <v>1626.643634665997</v>
      </c>
      <c r="M43" s="12">
        <v>0.718</v>
      </c>
      <c r="N43" s="37">
        <f t="shared" si="23"/>
        <v>192.38140225130414</v>
      </c>
      <c r="O43" s="1">
        <f t="shared" si="3"/>
        <v>10835.915768952389</v>
      </c>
      <c r="P43">
        <f t="shared" si="24"/>
        <v>104.09570485352596</v>
      </c>
      <c r="Q43" s="1">
        <f t="shared" si="25"/>
        <v>20.02607766805921</v>
      </c>
      <c r="R43" s="1">
        <f>+Q43*1000/'Material Properties'!AE$35</f>
        <v>17174.09210748118</v>
      </c>
      <c r="S43" s="1">
        <f t="shared" si="26"/>
        <v>126.28008902559692</v>
      </c>
      <c r="T43" s="1">
        <f t="shared" si="27"/>
        <v>-47.93652228076917</v>
      </c>
      <c r="U43">
        <f t="shared" si="4"/>
        <v>-0.00018236679890568918</v>
      </c>
      <c r="V43">
        <f>+'Material Properties'!AE$31+'Material Properties'!AE$33</f>
        <v>0.00029034311030761144</v>
      </c>
      <c r="W43">
        <f t="shared" si="45"/>
        <v>0.00010797631140192226</v>
      </c>
      <c r="X43" s="1">
        <f>+'Volcano Summary'!E$12*10^9/Q43/3600/24/365</f>
        <v>0</v>
      </c>
      <c r="Y43" s="3">
        <f t="shared" si="52"/>
        <v>2</v>
      </c>
      <c r="Z43" s="1">
        <f>+Y43*'Volcano Summary'!B$19*'Volcano Summary'!B$20/1000</f>
        <v>81000</v>
      </c>
      <c r="AA43" s="1">
        <f t="shared" si="7"/>
        <v>4044726.148705183</v>
      </c>
      <c r="AB43" s="3">
        <f t="shared" si="32"/>
        <v>1123.5350413069953</v>
      </c>
      <c r="AC43" s="1">
        <f t="shared" si="46"/>
        <v>172026766.46760783</v>
      </c>
      <c r="AD43" s="36">
        <f t="shared" si="47"/>
        <v>47785.212907668865</v>
      </c>
      <c r="AE43" s="36">
        <f t="shared" si="28"/>
        <v>1991.050537819536</v>
      </c>
      <c r="AG43" s="1">
        <f t="shared" si="11"/>
        <v>81000000</v>
      </c>
      <c r="AH43" s="1">
        <f t="shared" si="48"/>
        <v>81000</v>
      </c>
      <c r="AI43" s="1">
        <f t="shared" si="49"/>
        <v>81081000</v>
      </c>
      <c r="AJ43" s="1">
        <f t="shared" si="50"/>
        <v>2408137438.240334</v>
      </c>
      <c r="AK43" s="1">
        <f t="shared" si="51"/>
        <v>2410545575.6785746</v>
      </c>
      <c r="AL43" s="39">
        <f>+AJ43/('Volcano Summary'!C$8)*10^6</f>
        <v>167.1798316433484</v>
      </c>
      <c r="AM43" s="1">
        <f t="shared" si="16"/>
        <v>1991.050537819536</v>
      </c>
    </row>
    <row r="44" spans="1:39" ht="12.75" hidden="1">
      <c r="A44" s="1">
        <f t="shared" si="43"/>
        <v>4044726.148705183</v>
      </c>
      <c r="B44" s="1">
        <f t="shared" si="44"/>
        <v>2037.0049534045002</v>
      </c>
      <c r="C44" s="1">
        <v>138</v>
      </c>
      <c r="D44" s="12">
        <f t="shared" si="19"/>
        <v>13.255453865237978</v>
      </c>
      <c r="E44" s="38">
        <f t="shared" si="0"/>
        <v>139948126.8749126</v>
      </c>
      <c r="F44" s="38">
        <f t="shared" si="1"/>
        <v>89979372.94993776</v>
      </c>
      <c r="G44" s="38">
        <f t="shared" si="2"/>
        <v>40010619.02496297</v>
      </c>
      <c r="H44" s="18">
        <f t="shared" si="20"/>
        <v>0.037720322901295344</v>
      </c>
      <c r="I44" s="50">
        <f t="shared" si="42"/>
        <v>0.06377803445765023</v>
      </c>
      <c r="J44" s="3">
        <f t="shared" si="21"/>
        <v>242.0728053752508</v>
      </c>
      <c r="K44" s="12">
        <f t="shared" si="31"/>
        <v>1.0278188438522633</v>
      </c>
      <c r="L44" s="3">
        <f t="shared" si="22"/>
        <v>1624.0353235233167</v>
      </c>
      <c r="M44" s="12">
        <v>0.718</v>
      </c>
      <c r="N44" s="37">
        <f t="shared" si="23"/>
        <v>195.21054051970566</v>
      </c>
      <c r="O44" s="1">
        <f t="shared" si="3"/>
        <v>10921.480884687871</v>
      </c>
      <c r="P44">
        <f t="shared" si="24"/>
        <v>104.50588923447268</v>
      </c>
      <c r="Q44" s="1">
        <f t="shared" si="25"/>
        <v>20.4006511249539</v>
      </c>
      <c r="R44" s="1">
        <f>+Q44*1000/'Material Properties'!AE$35</f>
        <v>17495.321214666128</v>
      </c>
      <c r="S44" s="1">
        <f t="shared" si="26"/>
        <v>126.77768996134876</v>
      </c>
      <c r="T44" s="1">
        <f t="shared" si="27"/>
        <v>-45.178785075655014</v>
      </c>
      <c r="U44">
        <f t="shared" si="4"/>
        <v>-0.0001937248274843979</v>
      </c>
      <c r="V44">
        <f>+'Material Properties'!AE$31+'Material Properties'!AE$33</f>
        <v>0.00029034311030761144</v>
      </c>
      <c r="W44">
        <f t="shared" si="45"/>
        <v>9.661828282321355E-05</v>
      </c>
      <c r="X44" s="1">
        <f>+'Volcano Summary'!E$12*10^9/Q44/3600/24/365</f>
        <v>0</v>
      </c>
      <c r="Y44" s="3">
        <f t="shared" si="52"/>
        <v>2</v>
      </c>
      <c r="Z44" s="1">
        <f>+Y44*'Volcano Summary'!B$19*'Volcano Summary'!B$20/1000</f>
        <v>81000</v>
      </c>
      <c r="AA44" s="1">
        <f t="shared" si="7"/>
        <v>3970461.5065409113</v>
      </c>
      <c r="AB44" s="3">
        <f t="shared" si="32"/>
        <v>1102.905974039142</v>
      </c>
      <c r="AC44" s="1">
        <f t="shared" si="46"/>
        <v>175997227.97414875</v>
      </c>
      <c r="AD44" s="36">
        <f t="shared" si="47"/>
        <v>48888.118881708004</v>
      </c>
      <c r="AE44" s="36">
        <f t="shared" si="28"/>
        <v>2037.0049534045002</v>
      </c>
      <c r="AG44" s="1">
        <f t="shared" si="11"/>
        <v>81000000</v>
      </c>
      <c r="AH44" s="1">
        <f t="shared" si="48"/>
        <v>81000</v>
      </c>
      <c r="AI44" s="1">
        <f t="shared" si="49"/>
        <v>81081000</v>
      </c>
      <c r="AJ44" s="1">
        <f t="shared" si="50"/>
        <v>2489137438.240334</v>
      </c>
      <c r="AK44" s="1">
        <f t="shared" si="51"/>
        <v>2491626575.6785746</v>
      </c>
      <c r="AL44" s="39">
        <f>+AJ44/('Volcano Summary'!C$8)*10^6</f>
        <v>172.80308476340545</v>
      </c>
      <c r="AM44" s="1">
        <f t="shared" si="16"/>
        <v>2037.0049534045002</v>
      </c>
    </row>
    <row r="45" spans="1:39" ht="12.75" hidden="1">
      <c r="A45" s="1">
        <f t="shared" si="43"/>
        <v>3970461.5065409113</v>
      </c>
      <c r="B45" s="1">
        <f t="shared" si="44"/>
        <v>2082.1274599135713</v>
      </c>
      <c r="C45" s="1">
        <v>140</v>
      </c>
      <c r="D45" s="12">
        <f t="shared" si="19"/>
        <v>13.351162356249091</v>
      </c>
      <c r="E45" s="38">
        <f t="shared" si="0"/>
        <v>140958595.78674334</v>
      </c>
      <c r="F45" s="38">
        <f t="shared" si="1"/>
        <v>90629051.94959457</v>
      </c>
      <c r="G45" s="38">
        <f t="shared" si="2"/>
        <v>40299508.11244583</v>
      </c>
      <c r="H45" s="18">
        <f t="shared" si="20"/>
        <v>0.03744992283506852</v>
      </c>
      <c r="I45" s="50">
        <f t="shared" si="42"/>
        <v>0.0636383457116035</v>
      </c>
      <c r="J45" s="3">
        <f t="shared" si="21"/>
        <v>239.82511362509644</v>
      </c>
      <c r="K45" s="12">
        <f t="shared" si="31"/>
        <v>1.026207998097986</v>
      </c>
      <c r="L45" s="3">
        <f t="shared" si="22"/>
        <v>1621.490059422214</v>
      </c>
      <c r="M45" s="12">
        <v>0.718</v>
      </c>
      <c r="N45" s="37">
        <f t="shared" si="23"/>
        <v>198.03967878810724</v>
      </c>
      <c r="O45" s="1">
        <f t="shared" si="3"/>
        <v>11006.562239801113</v>
      </c>
      <c r="P45">
        <f t="shared" si="24"/>
        <v>104.91216440337656</v>
      </c>
      <c r="Q45" s="1">
        <f t="shared" si="25"/>
        <v>20.77677133940979</v>
      </c>
      <c r="R45" s="1">
        <f>+Q45*1000/'Material Properties'!AE$35</f>
        <v>17817.876800119277</v>
      </c>
      <c r="S45" s="1">
        <f t="shared" si="26"/>
        <v>127.27054857228055</v>
      </c>
      <c r="T45" s="1">
        <f t="shared" si="27"/>
        <v>-42.496008393240345</v>
      </c>
      <c r="U45">
        <f t="shared" si="4"/>
        <v>-0.00020621930640330312</v>
      </c>
      <c r="V45">
        <f>+'Material Properties'!AE$31+'Material Properties'!AE$33</f>
        <v>0.00029034311030761144</v>
      </c>
      <c r="W45">
        <f t="shared" si="45"/>
        <v>8.412380390430832E-05</v>
      </c>
      <c r="X45" s="1">
        <f>+'Volcano Summary'!E$12*10^9/Q45/3600/24/365</f>
        <v>0</v>
      </c>
      <c r="Y45" s="3">
        <f t="shared" si="52"/>
        <v>2</v>
      </c>
      <c r="Z45" s="1">
        <f>+Y45*'Volcano Summary'!B$19*'Volcano Summary'!B$20/1000</f>
        <v>81000</v>
      </c>
      <c r="AA45" s="1">
        <f t="shared" si="7"/>
        <v>3898584.562383742</v>
      </c>
      <c r="AB45" s="3">
        <f t="shared" si="32"/>
        <v>1082.940156217706</v>
      </c>
      <c r="AC45" s="1">
        <f t="shared" si="46"/>
        <v>179895812.5365325</v>
      </c>
      <c r="AD45" s="36">
        <f t="shared" si="47"/>
        <v>49971.05903792571</v>
      </c>
      <c r="AE45" s="36">
        <f t="shared" si="28"/>
        <v>2082.1274599135713</v>
      </c>
      <c r="AG45" s="1">
        <f t="shared" si="11"/>
        <v>81000000</v>
      </c>
      <c r="AH45" s="1">
        <f t="shared" si="48"/>
        <v>81000</v>
      </c>
      <c r="AI45" s="1">
        <f t="shared" si="49"/>
        <v>81081000</v>
      </c>
      <c r="AJ45" s="1">
        <f t="shared" si="50"/>
        <v>2570137438.240334</v>
      </c>
      <c r="AK45" s="1">
        <f t="shared" si="51"/>
        <v>2572707575.6785746</v>
      </c>
      <c r="AL45" s="39">
        <f>+AJ45/('Volcano Summary'!C$8)*10^6</f>
        <v>178.42633788346254</v>
      </c>
      <c r="AM45" s="1">
        <f t="shared" si="16"/>
        <v>2082.1274599135713</v>
      </c>
    </row>
    <row r="46" spans="1:39" ht="12.75" hidden="1">
      <c r="A46" s="1">
        <f t="shared" si="43"/>
        <v>3898584.562383742</v>
      </c>
      <c r="B46" s="1">
        <f t="shared" si="44"/>
        <v>2126.4444331327036</v>
      </c>
      <c r="C46" s="1">
        <v>142</v>
      </c>
      <c r="D46" s="12">
        <f t="shared" si="19"/>
        <v>13.446189622059965</v>
      </c>
      <c r="E46" s="38">
        <f t="shared" si="0"/>
        <v>141961872.47477528</v>
      </c>
      <c r="F46" s="38">
        <f t="shared" si="1"/>
        <v>91274106.72310428</v>
      </c>
      <c r="G46" s="38">
        <f t="shared" si="2"/>
        <v>40586340.971433304</v>
      </c>
      <c r="H46" s="18">
        <f t="shared" si="20"/>
        <v>0.037185255753027203</v>
      </c>
      <c r="I46" s="50">
        <f t="shared" si="42"/>
        <v>0.06350123608639571</v>
      </c>
      <c r="J46" s="3">
        <f t="shared" si="21"/>
        <v>237.63097045059848</v>
      </c>
      <c r="K46" s="12">
        <f t="shared" si="31"/>
        <v>1.024635528822929</v>
      </c>
      <c r="L46" s="3">
        <f t="shared" si="22"/>
        <v>1619.005433203185</v>
      </c>
      <c r="M46" s="12">
        <v>0.718</v>
      </c>
      <c r="N46" s="37">
        <f t="shared" si="23"/>
        <v>200.86881705650873</v>
      </c>
      <c r="O46" s="1">
        <f t="shared" si="3"/>
        <v>11091.169098675186</v>
      </c>
      <c r="P46">
        <f t="shared" si="24"/>
        <v>105.31461958662332</v>
      </c>
      <c r="Q46" s="1">
        <f t="shared" si="25"/>
        <v>21.154423055121253</v>
      </c>
      <c r="R46" s="1">
        <f>+Q46*1000/'Material Properties'!AE$35</f>
        <v>18141.74578024021</v>
      </c>
      <c r="S46" s="1">
        <f t="shared" si="26"/>
        <v>127.75877310028316</v>
      </c>
      <c r="T46" s="1">
        <f t="shared" si="27"/>
        <v>-39.88505501415557</v>
      </c>
      <c r="U46">
        <f t="shared" si="4"/>
        <v>-0.00022003047057097503</v>
      </c>
      <c r="V46">
        <f>+'Material Properties'!AE$31+'Material Properties'!AE$33</f>
        <v>0.00029034311030761144</v>
      </c>
      <c r="W46">
        <f t="shared" si="45"/>
        <v>7.031263973663641E-05</v>
      </c>
      <c r="X46" s="1">
        <f>+'Volcano Summary'!E$12*10^9/Q46/3600/24/365</f>
        <v>0</v>
      </c>
      <c r="Y46" s="3">
        <f t="shared" si="52"/>
        <v>2</v>
      </c>
      <c r="Z46" s="1">
        <f>+Y46*'Volcano Summary'!B$19*'Volcano Summary'!B$20/1000</f>
        <v>81000</v>
      </c>
      <c r="AA46" s="1">
        <f t="shared" si="7"/>
        <v>3828986.4861330166</v>
      </c>
      <c r="AB46" s="3">
        <f t="shared" si="32"/>
        <v>1063.6073572591713</v>
      </c>
      <c r="AC46" s="1">
        <f t="shared" si="46"/>
        <v>183724799.0226655</v>
      </c>
      <c r="AD46" s="36">
        <f t="shared" si="47"/>
        <v>51034.66639518488</v>
      </c>
      <c r="AE46" s="36">
        <f t="shared" si="28"/>
        <v>2126.4444331327036</v>
      </c>
      <c r="AG46" s="1">
        <f t="shared" si="11"/>
        <v>81000000</v>
      </c>
      <c r="AH46" s="1">
        <f t="shared" si="48"/>
        <v>81000</v>
      </c>
      <c r="AI46" s="1">
        <f t="shared" si="49"/>
        <v>81081000</v>
      </c>
      <c r="AJ46" s="1">
        <f t="shared" si="50"/>
        <v>2651137438.240334</v>
      </c>
      <c r="AK46" s="1">
        <f t="shared" si="51"/>
        <v>2653788575.6785746</v>
      </c>
      <c r="AL46" s="39">
        <f>+AJ46/('Volcano Summary'!C$8)*10^6</f>
        <v>184.04959100351962</v>
      </c>
      <c r="AM46" s="1">
        <f t="shared" si="16"/>
        <v>2126.4444331327036</v>
      </c>
    </row>
    <row r="47" spans="1:39" ht="12.75" hidden="1">
      <c r="A47" s="1">
        <f t="shared" si="43"/>
        <v>3828986.4861330166</v>
      </c>
      <c r="B47" s="1">
        <f t="shared" si="44"/>
        <v>2169.9810631283904</v>
      </c>
      <c r="C47" s="1">
        <v>144</v>
      </c>
      <c r="D47" s="12">
        <f t="shared" si="19"/>
        <v>13.540550005146152</v>
      </c>
      <c r="E47" s="38">
        <f t="shared" si="0"/>
        <v>142958108.3636679</v>
      </c>
      <c r="F47" s="38">
        <f t="shared" si="1"/>
        <v>91914634.62865394</v>
      </c>
      <c r="G47" s="38">
        <f t="shared" si="2"/>
        <v>40871160.89363996</v>
      </c>
      <c r="H47" s="18">
        <f t="shared" si="20"/>
        <v>0.03692612189386491</v>
      </c>
      <c r="I47" s="50">
        <f t="shared" si="42"/>
        <v>0.06336662138665065</v>
      </c>
      <c r="J47" s="3">
        <f t="shared" si="21"/>
        <v>235.48835853258493</v>
      </c>
      <c r="K47" s="12">
        <f t="shared" si="31"/>
        <v>1.023099990281686</v>
      </c>
      <c r="L47" s="3">
        <f t="shared" si="22"/>
        <v>1616.5791604737772</v>
      </c>
      <c r="M47" s="12">
        <v>0.718</v>
      </c>
      <c r="N47" s="37">
        <f t="shared" si="23"/>
        <v>203.6979553249103</v>
      </c>
      <c r="O47" s="1">
        <f t="shared" si="3"/>
        <v>11175.310422610228</v>
      </c>
      <c r="P47">
        <f t="shared" si="24"/>
        <v>105.71334079769794</v>
      </c>
      <c r="Q47" s="1">
        <f t="shared" si="25"/>
        <v>21.53359137105649</v>
      </c>
      <c r="R47" s="1">
        <f>+Q47*1000/'Material Properties'!AE$35</f>
        <v>18466.915376106528</v>
      </c>
      <c r="S47" s="1">
        <f t="shared" si="26"/>
        <v>128.24246788962867</v>
      </c>
      <c r="T47" s="1">
        <f t="shared" si="27"/>
        <v>-37.34296289652025</v>
      </c>
      <c r="U47">
        <f t="shared" si="4"/>
        <v>-0.00023537877598912407</v>
      </c>
      <c r="V47">
        <f>+'Material Properties'!AE$31+'Material Properties'!AE$33</f>
        <v>0.00029034311030761144</v>
      </c>
      <c r="W47">
        <f t="shared" si="45"/>
        <v>5.4964334318487374E-05</v>
      </c>
      <c r="X47" s="1">
        <f>+'Volcano Summary'!E$12*10^9/Q47/3600/24/365</f>
        <v>0</v>
      </c>
      <c r="Y47" s="3">
        <f t="shared" si="52"/>
        <v>2</v>
      </c>
      <c r="Z47" s="1">
        <f>+Y47*'Volcano Summary'!B$19*'Volcano Summary'!B$20/1000</f>
        <v>81000</v>
      </c>
      <c r="AA47" s="1">
        <f t="shared" si="7"/>
        <v>3761564.8316273373</v>
      </c>
      <c r="AB47" s="3">
        <f t="shared" si="32"/>
        <v>1044.8791198964825</v>
      </c>
      <c r="AC47" s="1">
        <f t="shared" si="46"/>
        <v>187486363.85429284</v>
      </c>
      <c r="AD47" s="36">
        <f t="shared" si="47"/>
        <v>52079.545515081365</v>
      </c>
      <c r="AE47" s="36">
        <f t="shared" si="28"/>
        <v>2169.9810631283904</v>
      </c>
      <c r="AG47" s="1">
        <f t="shared" si="11"/>
        <v>81000000</v>
      </c>
      <c r="AH47" s="1">
        <f t="shared" si="48"/>
        <v>81000</v>
      </c>
      <c r="AI47" s="1">
        <f t="shared" si="49"/>
        <v>81081000</v>
      </c>
      <c r="AJ47" s="1">
        <f t="shared" si="50"/>
        <v>2732137438.240334</v>
      </c>
      <c r="AK47" s="1">
        <f t="shared" si="51"/>
        <v>2734869575.6785746</v>
      </c>
      <c r="AL47" s="39">
        <f>+AJ47/('Volcano Summary'!C$8)*10^6</f>
        <v>189.6728441235767</v>
      </c>
      <c r="AM47" s="1">
        <f t="shared" si="16"/>
        <v>2169.9810631283904</v>
      </c>
    </row>
    <row r="48" spans="1:39" ht="12.75" hidden="1">
      <c r="A48" s="1">
        <f t="shared" si="43"/>
        <v>3761564.8316273373</v>
      </c>
      <c r="B48" s="1">
        <f t="shared" si="44"/>
        <v>2212.7614228601433</v>
      </c>
      <c r="C48" s="1">
        <v>146</v>
      </c>
      <c r="D48" s="12">
        <f t="shared" si="19"/>
        <v>13.63425735166143</v>
      </c>
      <c r="E48" s="38">
        <f t="shared" si="0"/>
        <v>143947449.6380262</v>
      </c>
      <c r="F48" s="38">
        <f t="shared" si="1"/>
        <v>92550729.65534776</v>
      </c>
      <c r="G48" s="38">
        <f t="shared" si="2"/>
        <v>41154009.67266934</v>
      </c>
      <c r="H48" s="18">
        <f t="shared" si="20"/>
        <v>0.036672331107133714</v>
      </c>
      <c r="I48" s="50">
        <f t="shared" si="42"/>
        <v>0.06323442131289043</v>
      </c>
      <c r="J48" s="3">
        <f t="shared" si="21"/>
        <v>233.3953635754311</v>
      </c>
      <c r="K48" s="12">
        <f t="shared" si="31"/>
        <v>1.0216000105623924</v>
      </c>
      <c r="L48" s="3">
        <f t="shared" si="22"/>
        <v>1614.2090735043935</v>
      </c>
      <c r="M48" s="12">
        <v>0.718</v>
      </c>
      <c r="N48" s="37">
        <f t="shared" si="23"/>
        <v>206.5270935933118</v>
      </c>
      <c r="O48" s="1">
        <f t="shared" si="3"/>
        <v>11258.994883754585</v>
      </c>
      <c r="P48">
        <f t="shared" si="24"/>
        <v>106.10841099439095</v>
      </c>
      <c r="Q48" s="1">
        <f t="shared" si="25"/>
        <v>21.914261728476177</v>
      </c>
      <c r="R48" s="1">
        <f>+Q48*1000/'Material Properties'!AE$35</f>
        <v>18793.373102341193</v>
      </c>
      <c r="S48" s="1">
        <f t="shared" si="26"/>
        <v>128.7217335776794</v>
      </c>
      <c r="T48" s="1">
        <f t="shared" si="27"/>
        <v>-34.86693303760444</v>
      </c>
      <c r="U48">
        <f t="shared" si="4"/>
        <v>-0.0002525367830679177</v>
      </c>
      <c r="V48">
        <f>+'Material Properties'!AE$31+'Material Properties'!AE$33</f>
        <v>0.00029034311030761144</v>
      </c>
      <c r="W48">
        <f t="shared" si="45"/>
        <v>3.780632723969377E-05</v>
      </c>
      <c r="X48" s="1">
        <f>+'Volcano Summary'!E$12*10^9/Q48/3600/24/365</f>
        <v>0</v>
      </c>
      <c r="Y48" s="3">
        <f t="shared" si="52"/>
        <v>2</v>
      </c>
      <c r="Z48" s="1">
        <f>+Y48*'Volcano Summary'!B$19*'Volcano Summary'!B$20/1000</f>
        <v>81000</v>
      </c>
      <c r="AA48" s="1">
        <f t="shared" si="7"/>
        <v>3696223.0808234666</v>
      </c>
      <c r="AB48" s="3">
        <f t="shared" si="32"/>
        <v>1026.728633562074</v>
      </c>
      <c r="AC48" s="1">
        <f t="shared" si="46"/>
        <v>191182586.93511632</v>
      </c>
      <c r="AD48" s="36">
        <f t="shared" si="47"/>
        <v>53106.27414864344</v>
      </c>
      <c r="AE48" s="36">
        <f t="shared" si="28"/>
        <v>2212.7614228601433</v>
      </c>
      <c r="AG48" s="1">
        <f t="shared" si="11"/>
        <v>81000000</v>
      </c>
      <c r="AH48" s="1">
        <f t="shared" si="48"/>
        <v>81000</v>
      </c>
      <c r="AI48" s="1">
        <f t="shared" si="49"/>
        <v>81081000</v>
      </c>
      <c r="AJ48" s="1">
        <f t="shared" si="50"/>
        <v>2813137438.240334</v>
      </c>
      <c r="AK48" s="1">
        <f t="shared" si="51"/>
        <v>2815950575.6785746</v>
      </c>
      <c r="AL48" s="39">
        <f>+AJ48/('Volcano Summary'!C$8)*10^6</f>
        <v>195.29609724363377</v>
      </c>
      <c r="AM48" s="1">
        <f t="shared" si="16"/>
        <v>2212.7614228601433</v>
      </c>
    </row>
    <row r="49" spans="1:39" ht="12.75" hidden="1">
      <c r="A49" s="1">
        <f t="shared" si="43"/>
        <v>3696223.0808234666</v>
      </c>
      <c r="B49" s="1">
        <f t="shared" si="44"/>
        <v>2254.808531959443</v>
      </c>
      <c r="C49" s="1">
        <v>148</v>
      </c>
      <c r="D49" s="12">
        <f t="shared" si="19"/>
        <v>13.727325035155395</v>
      </c>
      <c r="E49" s="38">
        <f t="shared" si="0"/>
        <v>144930037.4928053</v>
      </c>
      <c r="F49" s="38">
        <f t="shared" si="1"/>
        <v>93182482.58420455</v>
      </c>
      <c r="G49" s="38">
        <f t="shared" si="2"/>
        <v>41434927.675603844</v>
      </c>
      <c r="H49" s="18">
        <f t="shared" si="20"/>
        <v>0.036423702266793444</v>
      </c>
      <c r="I49" s="50">
        <f t="shared" si="42"/>
        <v>0.0631045592298989</v>
      </c>
      <c r="J49" s="3">
        <f t="shared" si="21"/>
        <v>231.35016770670697</v>
      </c>
      <c r="K49" s="12">
        <f t="shared" si="31"/>
        <v>1.0201342868564733</v>
      </c>
      <c r="L49" s="3">
        <f t="shared" si="22"/>
        <v>1611.8931137541165</v>
      </c>
      <c r="M49" s="12">
        <v>0.718</v>
      </c>
      <c r="N49" s="37">
        <f t="shared" si="23"/>
        <v>209.35623186171335</v>
      </c>
      <c r="O49" s="1">
        <f t="shared" si="3"/>
        <v>11342.23087821566</v>
      </c>
      <c r="P49">
        <f t="shared" si="24"/>
        <v>106.49991022632676</v>
      </c>
      <c r="Q49" s="1">
        <f t="shared" si="25"/>
        <v>22.29641989859452</v>
      </c>
      <c r="R49" s="1">
        <f>+Q49*1000/'Material Properties'!AE$35</f>
        <v>19121.10675653085</v>
      </c>
      <c r="S49" s="1">
        <f t="shared" si="26"/>
        <v>129.19666727385712</v>
      </c>
      <c r="T49" s="1">
        <f t="shared" si="27"/>
        <v>-32.45431833429939</v>
      </c>
      <c r="U49">
        <f t="shared" si="4"/>
        <v>-0.00027184551759674254</v>
      </c>
      <c r="V49">
        <f>+'Material Properties'!AE$31+'Material Properties'!AE$33</f>
        <v>0.00029034311030761144</v>
      </c>
      <c r="W49">
        <f t="shared" si="45"/>
        <v>1.8497592710868906E-05</v>
      </c>
      <c r="X49" s="1">
        <f>+'Volcano Summary'!E$12*10^9/Q49/3600/24/365</f>
        <v>0</v>
      </c>
      <c r="Y49" s="3">
        <f t="shared" si="52"/>
        <v>2</v>
      </c>
      <c r="Z49" s="1">
        <f>+Y49*'Volcano Summary'!B$19*'Volcano Summary'!B$20/1000</f>
        <v>81000</v>
      </c>
      <c r="AA49" s="1">
        <f t="shared" si="7"/>
        <v>3632870.2261794917</v>
      </c>
      <c r="AB49" s="3">
        <f t="shared" si="32"/>
        <v>1009.1306183831922</v>
      </c>
      <c r="AC49" s="1">
        <f t="shared" si="46"/>
        <v>194815457.1612958</v>
      </c>
      <c r="AD49" s="36">
        <f t="shared" si="47"/>
        <v>54115.40476702663</v>
      </c>
      <c r="AE49" s="36">
        <f t="shared" si="28"/>
        <v>2254.808531959443</v>
      </c>
      <c r="AG49" s="1">
        <f t="shared" si="11"/>
        <v>81000000</v>
      </c>
      <c r="AH49" s="1">
        <f t="shared" si="48"/>
        <v>81000</v>
      </c>
      <c r="AI49" s="1">
        <f t="shared" si="49"/>
        <v>81081000</v>
      </c>
      <c r="AJ49" s="1">
        <f t="shared" si="50"/>
        <v>2894137438.240334</v>
      </c>
      <c r="AK49" s="1">
        <f t="shared" si="51"/>
        <v>2897031575.6785746</v>
      </c>
      <c r="AL49" s="39">
        <f>+AJ49/('Volcano Summary'!C$8)*10^6</f>
        <v>200.91935036369085</v>
      </c>
      <c r="AM49" s="1">
        <f t="shared" si="16"/>
        <v>2254.808531959443</v>
      </c>
    </row>
    <row r="50" spans="1:39" ht="12.75" hidden="1">
      <c r="A50" s="1">
        <f t="shared" si="43"/>
        <v>3632870.2261794917</v>
      </c>
      <c r="B50" s="1">
        <f t="shared" si="44"/>
        <v>2296.1444160749306</v>
      </c>
      <c r="C50" s="1">
        <v>150</v>
      </c>
      <c r="D50" s="12">
        <f t="shared" si="19"/>
        <v>13.81976597885342</v>
      </c>
      <c r="E50" s="38">
        <f t="shared" si="0"/>
        <v>145906008.36853775</v>
      </c>
      <c r="F50" s="38">
        <f t="shared" si="1"/>
        <v>93809981.13939638</v>
      </c>
      <c r="G50" s="38">
        <f t="shared" si="2"/>
        <v>41713953.910255015</v>
      </c>
      <c r="H50" s="18">
        <f t="shared" si="20"/>
        <v>0.03618006272791338</v>
      </c>
      <c r="I50" s="50">
        <f t="shared" si="42"/>
        <v>0.06297696195181986</v>
      </c>
      <c r="J50" s="3">
        <f t="shared" si="21"/>
        <v>229.35104338302568</v>
      </c>
      <c r="K50" s="12">
        <f t="shared" si="31"/>
        <v>1.0187015810911686</v>
      </c>
      <c r="L50" s="3">
        <f t="shared" si="22"/>
        <v>1609.6293249697528</v>
      </c>
      <c r="M50" s="12">
        <v>0.718</v>
      </c>
      <c r="N50" s="37">
        <f t="shared" si="23"/>
        <v>212.1853701301149</v>
      </c>
      <c r="O50" s="1">
        <f t="shared" si="3"/>
        <v>11425.026538409029</v>
      </c>
      <c r="P50">
        <f t="shared" si="24"/>
        <v>106.887915773529</v>
      </c>
      <c r="Q50" s="1">
        <f t="shared" si="25"/>
        <v>22.6800519708428</v>
      </c>
      <c r="R50" s="1">
        <f>+Q50*1000/'Material Properties'!AE$35</f>
        <v>19450.104409160765</v>
      </c>
      <c r="S50" s="1">
        <f t="shared" si="26"/>
        <v>129.66736272773844</v>
      </c>
      <c r="T50" s="1">
        <f t="shared" si="27"/>
        <v>-30.10261334764482</v>
      </c>
      <c r="U50">
        <f t="shared" si="4"/>
        <v>-0.00029373740965863945</v>
      </c>
      <c r="V50">
        <f>+'Material Properties'!AE$31+'Material Properties'!AE$33</f>
        <v>0.00029034311030761144</v>
      </c>
      <c r="W50">
        <f t="shared" si="45"/>
        <v>-3.3942993510280035E-06</v>
      </c>
      <c r="X50" s="1">
        <f>+'Volcano Summary'!E$12*10^9/Q50/3600/24/365</f>
        <v>0</v>
      </c>
      <c r="Y50" s="3">
        <f t="shared" si="52"/>
        <v>2</v>
      </c>
      <c r="Z50" s="1">
        <f>+Y50*'Volcano Summary'!B$19*'Volcano Summary'!B$20/1000</f>
        <v>81000</v>
      </c>
      <c r="AA50" s="1">
        <f t="shared" si="7"/>
        <v>3571420.3875781507</v>
      </c>
      <c r="AB50" s="3">
        <f t="shared" si="32"/>
        <v>992.0612187717086</v>
      </c>
      <c r="AC50" s="1">
        <f t="shared" si="46"/>
        <v>198386877.54887396</v>
      </c>
      <c r="AD50" s="36">
        <f t="shared" si="47"/>
        <v>55107.465985798335</v>
      </c>
      <c r="AE50" s="36">
        <f t="shared" si="28"/>
        <v>2296.1444160749306</v>
      </c>
      <c r="AG50" s="1">
        <f t="shared" si="11"/>
        <v>81000000</v>
      </c>
      <c r="AH50" s="1">
        <f t="shared" si="48"/>
        <v>81000</v>
      </c>
      <c r="AI50" s="1">
        <f t="shared" si="49"/>
        <v>81081000</v>
      </c>
      <c r="AJ50" s="1">
        <f t="shared" si="50"/>
        <v>2975137438.240334</v>
      </c>
      <c r="AK50" s="1">
        <f t="shared" si="51"/>
        <v>2978112575.6785746</v>
      </c>
      <c r="AL50" s="39">
        <f>+AJ50/('Volcano Summary'!C$8)*10^6</f>
        <v>206.54260348374794</v>
      </c>
      <c r="AM50" s="1">
        <f t="shared" si="16"/>
        <v>2296.1444160749306</v>
      </c>
    </row>
    <row r="51" spans="1:39" ht="12.75" hidden="1">
      <c r="A51" s="1">
        <f>+AA50</f>
        <v>3571420.3875781507</v>
      </c>
      <c r="B51" s="1">
        <f>+AE51</f>
        <v>2336.790162145773</v>
      </c>
      <c r="C51" s="1">
        <v>152</v>
      </c>
      <c r="D51" s="12">
        <f t="shared" si="19"/>
        <v>13.911592676604096</v>
      </c>
      <c r="E51" s="38">
        <f t="shared" si="0"/>
        <v>146875494.17249182</v>
      </c>
      <c r="F51" s="38">
        <f t="shared" si="1"/>
        <v>94433310.13044192</v>
      </c>
      <c r="G51" s="38">
        <f t="shared" si="2"/>
        <v>41991126.08839203</v>
      </c>
      <c r="H51" s="18">
        <f t="shared" si="20"/>
        <v>0.03594124782282319</v>
      </c>
      <c r="I51" s="50">
        <f t="shared" si="42"/>
        <v>0.06285155954257306</v>
      </c>
      <c r="J51" s="3">
        <f t="shared" si="21"/>
        <v>227.3963477570546</v>
      </c>
      <c r="K51" s="12">
        <f t="shared" si="31"/>
        <v>1.017300715892556</v>
      </c>
      <c r="L51" s="3">
        <f t="shared" si="22"/>
        <v>1607.4158468070889</v>
      </c>
      <c r="M51" s="12">
        <v>0.718</v>
      </c>
      <c r="N51" s="37">
        <f t="shared" si="23"/>
        <v>215.01450839851637</v>
      </c>
      <c r="O51" s="1">
        <f t="shared" si="3"/>
        <v>11507.38974469961</v>
      </c>
      <c r="P51">
        <f t="shared" si="24"/>
        <v>107.27250227667672</v>
      </c>
      <c r="Q51" s="1">
        <f t="shared" si="25"/>
        <v>23.06514434169837</v>
      </c>
      <c r="R51" s="1">
        <f>+Q51*1000/'Material Properties'!AE$35</f>
        <v>19780.35439403475</v>
      </c>
      <c r="S51" s="1">
        <f t="shared" si="26"/>
        <v>130.13391048707072</v>
      </c>
      <c r="T51" s="1">
        <f t="shared" si="27"/>
        <v>-27.809444886801657</v>
      </c>
      <c r="U51">
        <f t="shared" si="4"/>
        <v>-0.00031876911753788063</v>
      </c>
      <c r="V51">
        <f>+'Material Properties'!AE$31+'Material Properties'!AE$33</f>
        <v>0.00029034311030761144</v>
      </c>
      <c r="W51">
        <f>+V51+U51</f>
        <v>-2.8426007230269187E-05</v>
      </c>
      <c r="X51" s="1">
        <f>+'Volcano Summary'!E$12*10^9/Q51/3600/24/365</f>
        <v>0</v>
      </c>
      <c r="Y51" s="3">
        <f>+C52-C51</f>
        <v>2</v>
      </c>
      <c r="Z51" s="1">
        <f>+Y51*'Volcano Summary'!B$19*'Volcano Summary'!B$20/1000</f>
        <v>81000</v>
      </c>
      <c r="AA51" s="1">
        <f t="shared" si="7"/>
        <v>3511792.460520786</v>
      </c>
      <c r="AB51" s="3">
        <f t="shared" si="32"/>
        <v>975.4979057002183</v>
      </c>
      <c r="AC51" s="1">
        <f aca="true" t="shared" si="53" ref="AC51:AD54">+AC50+AA51</f>
        <v>201898670.00939474</v>
      </c>
      <c r="AD51" s="36">
        <f t="shared" si="53"/>
        <v>56082.963891498555</v>
      </c>
      <c r="AE51" s="36">
        <f t="shared" si="28"/>
        <v>2336.790162145773</v>
      </c>
      <c r="AG51" s="1">
        <f t="shared" si="11"/>
        <v>81000000</v>
      </c>
      <c r="AH51" s="1">
        <f>+Z51</f>
        <v>81000</v>
      </c>
      <c r="AI51" s="1">
        <f>+AH51+AG51</f>
        <v>81081000</v>
      </c>
      <c r="AJ51" s="1">
        <f>+AJ50+AG51</f>
        <v>3056137438.240334</v>
      </c>
      <c r="AK51" s="1">
        <f>+AK50+AI51</f>
        <v>3059193575.6785746</v>
      </c>
      <c r="AL51" s="39">
        <f>+AJ51/('Volcano Summary'!C$8)*10^6</f>
        <v>212.165856603805</v>
      </c>
      <c r="AM51" s="1">
        <f t="shared" si="16"/>
        <v>2336.790162145773</v>
      </c>
    </row>
    <row r="52" spans="1:39" ht="12.75" hidden="1">
      <c r="A52" s="1">
        <f>+AA51</f>
        <v>3511792.460520786</v>
      </c>
      <c r="B52" s="1">
        <f>+AE52</f>
        <v>2376.765969931305</v>
      </c>
      <c r="C52" s="1">
        <v>154</v>
      </c>
      <c r="D52" s="12">
        <f t="shared" si="19"/>
        <v>14.002817212590296</v>
      </c>
      <c r="E52" s="38">
        <f t="shared" si="0"/>
        <v>147838622.48677623</v>
      </c>
      <c r="F52" s="38">
        <f t="shared" si="1"/>
        <v>95052551.58600712</v>
      </c>
      <c r="G52" s="38">
        <f t="shared" si="2"/>
        <v>42266480.68523799</v>
      </c>
      <c r="H52" s="18">
        <f t="shared" si="20"/>
        <v>0.03570710039337206</v>
      </c>
      <c r="I52" s="50">
        <f t="shared" si="42"/>
        <v>0.06272828513030802</v>
      </c>
      <c r="J52" s="3">
        <f t="shared" si="21"/>
        <v>225.48451746519763</v>
      </c>
      <c r="K52" s="12">
        <f t="shared" si="31"/>
        <v>1.0159305708500583</v>
      </c>
      <c r="L52" s="3">
        <f t="shared" si="22"/>
        <v>1605.2509089285163</v>
      </c>
      <c r="M52" s="12">
        <v>0.718</v>
      </c>
      <c r="N52" s="37">
        <f t="shared" si="23"/>
        <v>217.84364666691798</v>
      </c>
      <c r="O52" s="1">
        <f t="shared" si="3"/>
        <v>11589.328136384154</v>
      </c>
      <c r="P52">
        <f t="shared" si="24"/>
        <v>107.65374185964998</v>
      </c>
      <c r="Q52" s="1">
        <f t="shared" si="25"/>
        <v>23.45168370404519</v>
      </c>
      <c r="R52" s="1">
        <f>+Q52*1000/'Material Properties'!AE$35</f>
        <v>20111.845299150908</v>
      </c>
      <c r="S52" s="1">
        <f t="shared" si="26"/>
        <v>130.59639804643447</v>
      </c>
      <c r="T52" s="1">
        <f t="shared" si="27"/>
        <v>-25.572563336806297</v>
      </c>
      <c r="U52">
        <f t="shared" si="4"/>
        <v>-0.00034766959082859335</v>
      </c>
      <c r="V52">
        <f>+'Material Properties'!AE$31+'Material Properties'!AE$33</f>
        <v>0.00029034311030761144</v>
      </c>
      <c r="W52">
        <f>+V52+U52</f>
        <v>-5.7326480520981905E-05</v>
      </c>
      <c r="X52" s="1">
        <f>+'Volcano Summary'!E$12*10^9/Q52/3600/24/365</f>
        <v>0</v>
      </c>
      <c r="Y52" s="3">
        <f>+C53-C52</f>
        <v>2</v>
      </c>
      <c r="Z52" s="1">
        <f>+Y52*'Volcano Summary'!B$19*'Volcano Summary'!B$20/1000</f>
        <v>81000</v>
      </c>
      <c r="AA52" s="1">
        <f t="shared" si="7"/>
        <v>3453909.7926699515</v>
      </c>
      <c r="AB52" s="3">
        <f t="shared" si="32"/>
        <v>959.4193868527643</v>
      </c>
      <c r="AC52" s="1">
        <f t="shared" si="53"/>
        <v>205352579.8020647</v>
      </c>
      <c r="AD52" s="36">
        <f t="shared" si="53"/>
        <v>57042.38327835132</v>
      </c>
      <c r="AE52" s="36">
        <f t="shared" si="28"/>
        <v>2376.765969931305</v>
      </c>
      <c r="AG52" s="1">
        <f t="shared" si="11"/>
        <v>81000000</v>
      </c>
      <c r="AH52" s="1">
        <f>+Z52</f>
        <v>81000</v>
      </c>
      <c r="AI52" s="1">
        <f>+AH52+AG52</f>
        <v>81081000</v>
      </c>
      <c r="AJ52" s="1">
        <f>+AJ51+AG52</f>
        <v>3137137438.240334</v>
      </c>
      <c r="AK52" s="1">
        <f>+AK51+AI52</f>
        <v>3140274575.6785746</v>
      </c>
      <c r="AL52" s="39">
        <f>+AJ52/('Volcano Summary'!C$8)*10^6</f>
        <v>217.7891097238621</v>
      </c>
      <c r="AM52" s="1">
        <f t="shared" si="16"/>
        <v>2376.765969931305</v>
      </c>
    </row>
    <row r="53" spans="1:39" ht="12.75" hidden="1">
      <c r="A53" s="1">
        <f>+AA52</f>
        <v>3453909.7926699515</v>
      </c>
      <c r="B53" s="1">
        <f>+AE53</f>
        <v>2416.0912000947947</v>
      </c>
      <c r="C53" s="1">
        <v>156</v>
      </c>
      <c r="D53" s="12">
        <f t="shared" si="19"/>
        <v>14.093451279891855</v>
      </c>
      <c r="E53" s="38">
        <f t="shared" si="0"/>
        <v>148795516.76432124</v>
      </c>
      <c r="F53" s="38">
        <f t="shared" si="1"/>
        <v>95667784.87991065</v>
      </c>
      <c r="G53" s="38">
        <f t="shared" si="2"/>
        <v>42540052.99550007</v>
      </c>
      <c r="H53" s="18">
        <f t="shared" si="20"/>
        <v>0.03547747035627718</v>
      </c>
      <c r="I53" s="50">
        <f t="shared" si="42"/>
        <v>0.06260707473473842</v>
      </c>
      <c r="J53" s="3">
        <f t="shared" si="21"/>
        <v>223.61406379949125</v>
      </c>
      <c r="K53" s="12">
        <f t="shared" si="31"/>
        <v>1.0145900790563023</v>
      </c>
      <c r="L53" s="3">
        <f t="shared" si="22"/>
        <v>1603.1328255357332</v>
      </c>
      <c r="M53" s="12">
        <v>0.718</v>
      </c>
      <c r="N53" s="37">
        <f t="shared" si="23"/>
        <v>220.67278493531944</v>
      </c>
      <c r="O53" s="1">
        <f t="shared" si="3"/>
        <v>11670.849122060281</v>
      </c>
      <c r="P53">
        <f t="shared" si="24"/>
        <v>108.03170424491266</v>
      </c>
      <c r="Q53" s="1">
        <f t="shared" si="25"/>
        <v>23.83965703703365</v>
      </c>
      <c r="R53" s="1">
        <f>+Q53*1000/'Material Properties'!AE$35</f>
        <v>20444.565958005514</v>
      </c>
      <c r="S53" s="1">
        <f t="shared" si="26"/>
        <v>131.05490998721484</v>
      </c>
      <c r="T53" s="1">
        <f t="shared" si="27"/>
        <v>-23.389834662319572</v>
      </c>
      <c r="U53">
        <f t="shared" si="4"/>
        <v>-0.0003814123193342892</v>
      </c>
      <c r="V53">
        <f>+'Material Properties'!AE$31+'Material Properties'!AE$33</f>
        <v>0.00029034311030761144</v>
      </c>
      <c r="W53">
        <f>+V53+U53</f>
        <v>-9.106920902667774E-05</v>
      </c>
      <c r="X53" s="1">
        <f>+'Volcano Summary'!E$12*10^9/Q53/3600/24/365</f>
        <v>0</v>
      </c>
      <c r="Y53" s="3">
        <f>+C54-C53</f>
        <v>2</v>
      </c>
      <c r="Z53" s="1">
        <f>+Y53*'Volcano Summary'!B$19*'Volcano Summary'!B$20/1000</f>
        <v>81000</v>
      </c>
      <c r="AA53" s="1">
        <f t="shared" si="7"/>
        <v>3397699.886125491</v>
      </c>
      <c r="AB53" s="3">
        <f t="shared" si="32"/>
        <v>943.8055239237475</v>
      </c>
      <c r="AC53" s="1">
        <f t="shared" si="53"/>
        <v>208750279.6881902</v>
      </c>
      <c r="AD53" s="36">
        <f t="shared" si="53"/>
        <v>57986.18880227507</v>
      </c>
      <c r="AE53" s="36">
        <f t="shared" si="28"/>
        <v>2416.0912000947947</v>
      </c>
      <c r="AG53" s="1">
        <f t="shared" si="11"/>
        <v>80999999.99999999</v>
      </c>
      <c r="AH53" s="1">
        <f>+Z53</f>
        <v>81000</v>
      </c>
      <c r="AI53" s="1">
        <f>+AH53+AG53</f>
        <v>81080999.99999999</v>
      </c>
      <c r="AJ53" s="1">
        <f>+AJ52+AG53</f>
        <v>3218137438.240334</v>
      </c>
      <c r="AK53" s="1">
        <f>+AK52+AI53</f>
        <v>3221355575.6785746</v>
      </c>
      <c r="AL53" s="39">
        <f>+AJ53/('Volcano Summary'!C$8)*10^6</f>
        <v>223.41236284391917</v>
      </c>
      <c r="AM53" s="1">
        <f t="shared" si="16"/>
        <v>2416.0912000947947</v>
      </c>
    </row>
    <row r="54" spans="1:39" ht="12.75" hidden="1">
      <c r="A54" s="1">
        <f>+AA53</f>
        <v>3397699.886125491</v>
      </c>
      <c r="B54" s="1">
        <f>+AE54</f>
        <v>2454.7844191120375</v>
      </c>
      <c r="C54" s="1">
        <v>158</v>
      </c>
      <c r="D54" s="12">
        <f t="shared" si="19"/>
        <v>14.183506197980657</v>
      </c>
      <c r="E54" s="38">
        <f t="shared" si="0"/>
        <v>149746296.51358753</v>
      </c>
      <c r="F54" s="38">
        <f t="shared" si="1"/>
        <v>96279086.84988232</v>
      </c>
      <c r="G54" s="38">
        <f t="shared" si="2"/>
        <v>42811877.18617712</v>
      </c>
      <c r="H54" s="18">
        <f t="shared" si="20"/>
        <v>0.035252214298830166</v>
      </c>
      <c r="I54" s="50">
        <f t="shared" si="42"/>
        <v>0.06248786710630816</v>
      </c>
      <c r="J54" s="3">
        <f t="shared" si="21"/>
        <v>221.78356823083956</v>
      </c>
      <c r="K54" s="12">
        <f t="shared" si="31"/>
        <v>1.0132782238987685</v>
      </c>
      <c r="L54" s="3">
        <f t="shared" si="22"/>
        <v>1601.0599903002983</v>
      </c>
      <c r="M54" s="12">
        <v>0.718</v>
      </c>
      <c r="N54" s="37">
        <f t="shared" si="23"/>
        <v>223.50192320372102</v>
      </c>
      <c r="O54" s="1">
        <f t="shared" si="3"/>
        <v>11751.95988942372</v>
      </c>
      <c r="P54">
        <f t="shared" si="24"/>
        <v>108.40645686223547</v>
      </c>
      <c r="Q54" s="1">
        <f t="shared" si="25"/>
        <v>24.229051596410848</v>
      </c>
      <c r="R54" s="1">
        <f>+Q54*1000/'Material Properties'!AE$35</f>
        <v>20778.50544130046</v>
      </c>
      <c r="S54" s="1">
        <f t="shared" si="26"/>
        <v>131.50952810949656</v>
      </c>
      <c r="T54" s="1">
        <f t="shared" si="27"/>
        <v>-21.259233026567472</v>
      </c>
      <c r="U54">
        <f t="shared" si="4"/>
        <v>-0.00042132726654321403</v>
      </c>
      <c r="V54">
        <f>+'Material Properties'!AE$31+'Material Properties'!AE$33</f>
        <v>0.00029034311030761144</v>
      </c>
      <c r="W54">
        <f>+V54+U54</f>
        <v>-0.00013098415623560259</v>
      </c>
      <c r="X54" s="1">
        <f>+'Volcano Summary'!E$12*10^9/Q54/3600/24/365</f>
        <v>0</v>
      </c>
      <c r="Y54" s="3">
        <f>+C55-C54</f>
        <v>2</v>
      </c>
      <c r="Z54" s="1">
        <f>+Y54*'Volcano Summary'!B$19*'Volcano Summary'!B$20/1000</f>
        <v>81000</v>
      </c>
      <c r="AA54" s="1">
        <f t="shared" si="7"/>
        <v>3343094.123089773</v>
      </c>
      <c r="AB54" s="3">
        <f t="shared" si="32"/>
        <v>928.6372564138259</v>
      </c>
      <c r="AC54" s="1">
        <f t="shared" si="53"/>
        <v>212093373.81127995</v>
      </c>
      <c r="AD54" s="36">
        <f t="shared" si="53"/>
        <v>58914.8260586889</v>
      </c>
      <c r="AE54" s="36">
        <f t="shared" si="28"/>
        <v>2454.7844191120375</v>
      </c>
      <c r="AG54" s="1">
        <f t="shared" si="11"/>
        <v>80999999.99999999</v>
      </c>
      <c r="AH54" s="1">
        <f>+Z54</f>
        <v>81000</v>
      </c>
      <c r="AI54" s="1">
        <f>+AH54+AG54</f>
        <v>81080999.99999999</v>
      </c>
      <c r="AJ54" s="1">
        <f>+AJ53+AG54</f>
        <v>3299137438.240334</v>
      </c>
      <c r="AK54" s="1">
        <f>+AK53+AI54</f>
        <v>3302436575.6785746</v>
      </c>
      <c r="AL54" s="39">
        <f>+AJ54/('Volcano Summary'!C$8)*10^6</f>
        <v>229.03561596397626</v>
      </c>
      <c r="AM54" s="1">
        <f t="shared" si="16"/>
        <v>2454.7844191120375</v>
      </c>
    </row>
    <row r="55" spans="1:39" ht="12.75" hidden="1">
      <c r="A55" s="1">
        <f t="shared" si="43"/>
        <v>3343094.123089773</v>
      </c>
      <c r="B55" s="1">
        <f t="shared" si="44"/>
        <v>2492.2481261474554</v>
      </c>
      <c r="C55" s="1">
        <v>160</v>
      </c>
      <c r="D55" s="12">
        <f t="shared" si="19"/>
        <v>14.27299292922217</v>
      </c>
      <c r="E55" s="38">
        <f t="shared" si="0"/>
        <v>150691077.47278583</v>
      </c>
      <c r="F55" s="38">
        <f t="shared" si="1"/>
        <v>96886531.9095771</v>
      </c>
      <c r="G55" s="38">
        <f t="shared" si="2"/>
        <v>43081986.34636838</v>
      </c>
      <c r="H55" s="18">
        <f t="shared" si="20"/>
        <v>0.035031195102487055</v>
      </c>
      <c r="I55" s="50">
        <v>0.06</v>
      </c>
      <c r="J55" s="3">
        <f t="shared" si="21"/>
        <v>211.6871706149223</v>
      </c>
      <c r="K55" s="12">
        <f t="shared" si="31"/>
        <v>1.0060424722740278</v>
      </c>
      <c r="L55" s="3">
        <f t="shared" si="22"/>
        <v>1589.6269286269228</v>
      </c>
      <c r="M55" s="12">
        <v>0.718</v>
      </c>
      <c r="N55" s="37">
        <f t="shared" si="23"/>
        <v>226.33106147212257</v>
      </c>
      <c r="O55" s="1">
        <f t="shared" si="3"/>
        <v>12224.545887304366</v>
      </c>
      <c r="P55">
        <f t="shared" si="24"/>
        <v>110.56466834981403</v>
      </c>
      <c r="Q55" s="1">
        <f t="shared" si="25"/>
        <v>25.024218748926604</v>
      </c>
      <c r="R55" s="1">
        <f>+Q55*1000/'Material Properties'!AE$35</f>
        <v>21460.42998711056</v>
      </c>
      <c r="S55" s="1">
        <f t="shared" si="26"/>
        <v>134.127687419441</v>
      </c>
      <c r="T55" s="1">
        <f t="shared" si="27"/>
        <v>-9.605276642276067</v>
      </c>
      <c r="U55">
        <f t="shared" si="4"/>
        <v>-0.0009853678811701998</v>
      </c>
      <c r="V55">
        <f>+'Material Properties'!AE$31+'Material Properties'!AE$33</f>
        <v>0.00029034311030761144</v>
      </c>
      <c r="W55">
        <f t="shared" si="45"/>
        <v>-0.0006950247708625883</v>
      </c>
      <c r="X55" s="1">
        <f>+'Volcano Summary'!E$12*10^9/Q55/3600/24/365</f>
        <v>0</v>
      </c>
      <c r="Y55" s="3">
        <f t="shared" si="52"/>
        <v>2</v>
      </c>
      <c r="Z55" s="1">
        <f>+Y55*'Volcano Summary'!B$19*'Volcano Summary'!B$20/1000</f>
        <v>81000</v>
      </c>
      <c r="AA55" s="1">
        <f t="shared" si="7"/>
        <v>3236864.2878601127</v>
      </c>
      <c r="AB55" s="3">
        <f t="shared" si="32"/>
        <v>899.1289688500314</v>
      </c>
      <c r="AC55" s="1">
        <f t="shared" si="46"/>
        <v>215330238.09914008</v>
      </c>
      <c r="AD55" s="36">
        <f t="shared" si="47"/>
        <v>59813.955027538934</v>
      </c>
      <c r="AE55" s="36">
        <f t="shared" si="28"/>
        <v>2492.2481261474554</v>
      </c>
      <c r="AG55" s="1">
        <f t="shared" si="11"/>
        <v>80999999.99999999</v>
      </c>
      <c r="AH55" s="1">
        <f t="shared" si="48"/>
        <v>81000</v>
      </c>
      <c r="AI55" s="1">
        <f t="shared" si="49"/>
        <v>81080999.99999999</v>
      </c>
      <c r="AJ55" s="1">
        <f t="shared" si="50"/>
        <v>3380137438.240334</v>
      </c>
      <c r="AK55" s="1">
        <f t="shared" si="51"/>
        <v>3383517575.6785746</v>
      </c>
      <c r="AL55" s="39">
        <f>+AJ55/('Volcano Summary'!C$8)*10^6</f>
        <v>234.65886908403334</v>
      </c>
      <c r="AM55" s="1">
        <f t="shared" si="16"/>
        <v>2492.2481261474554</v>
      </c>
    </row>
    <row r="56" spans="1:39" ht="12.75" hidden="1">
      <c r="A56" s="1">
        <f t="shared" si="43"/>
        <v>3236864.2878601127</v>
      </c>
      <c r="B56" s="1">
        <f t="shared" si="44"/>
        <v>2529.1236846760426</v>
      </c>
      <c r="C56" s="1">
        <v>162</v>
      </c>
      <c r="D56" s="12">
        <f t="shared" si="19"/>
        <v>14.361922094451577</v>
      </c>
      <c r="E56" s="38">
        <f t="shared" si="0"/>
        <v>151629971.77432632</v>
      </c>
      <c r="F56" s="38">
        <f t="shared" si="1"/>
        <v>97490192.1543076</v>
      </c>
      <c r="G56" s="38">
        <f t="shared" si="2"/>
        <v>43350412.53428887</v>
      </c>
      <c r="H56" s="18">
        <f t="shared" si="20"/>
        <v>0.03481428159209723</v>
      </c>
      <c r="I56" s="50">
        <f>+I$55*LN(H$55)/LN(H56)</f>
        <v>0.05988900957852224</v>
      </c>
      <c r="J56" s="3">
        <f t="shared" si="21"/>
        <v>209.99928437384813</v>
      </c>
      <c r="K56" s="12">
        <f t="shared" si="31"/>
        <v>1.0048328204679247</v>
      </c>
      <c r="L56" s="3">
        <f t="shared" si="22"/>
        <v>1587.7155827958693</v>
      </c>
      <c r="M56" s="12">
        <v>0.718</v>
      </c>
      <c r="N56" s="37">
        <f t="shared" si="23"/>
        <v>229.16019974052406</v>
      </c>
      <c r="O56" s="1">
        <f t="shared" si="3"/>
        <v>12307.984894699784</v>
      </c>
      <c r="P56">
        <f t="shared" si="24"/>
        <v>110.94135790903131</v>
      </c>
      <c r="Q56" s="1">
        <f t="shared" si="25"/>
        <v>25.423343737918586</v>
      </c>
      <c r="R56" s="1">
        <f>+Q56*1000/'Material Properties'!AE$35</f>
        <v>21802.71415463272</v>
      </c>
      <c r="S56" s="1">
        <f t="shared" si="26"/>
        <v>134.5846552755106</v>
      </c>
      <c r="T56" s="1">
        <f t="shared" si="27"/>
        <v>-7.673144365778853</v>
      </c>
      <c r="U56">
        <f t="shared" si="4"/>
        <v>-0.0012664575766817595</v>
      </c>
      <c r="V56">
        <f>+'Material Properties'!AE$31+'Material Properties'!AE$33</f>
        <v>0.00029034311030761144</v>
      </c>
      <c r="W56">
        <f t="shared" si="45"/>
        <v>-0.0009761144663741481</v>
      </c>
      <c r="X56" s="1">
        <f>+'Volcano Summary'!E$12*10^9/Q56/3600/24/365</f>
        <v>0</v>
      </c>
      <c r="Y56" s="3">
        <f t="shared" si="52"/>
        <v>2</v>
      </c>
      <c r="Z56" s="1">
        <f>+Y56*'Volcano Summary'!B$19*'Volcano Summary'!B$20/1000</f>
        <v>81000</v>
      </c>
      <c r="AA56" s="1">
        <f t="shared" si="7"/>
        <v>3186048.256869908</v>
      </c>
      <c r="AB56" s="3">
        <f t="shared" si="32"/>
        <v>885.0134046860856</v>
      </c>
      <c r="AC56" s="1">
        <f t="shared" si="46"/>
        <v>218516286.35601</v>
      </c>
      <c r="AD56" s="36">
        <f t="shared" si="47"/>
        <v>60698.96843222502</v>
      </c>
      <c r="AE56" s="36">
        <f t="shared" si="28"/>
        <v>2529.1236846760426</v>
      </c>
      <c r="AG56" s="1">
        <f t="shared" si="11"/>
        <v>81000000</v>
      </c>
      <c r="AH56" s="1">
        <f t="shared" si="48"/>
        <v>81000</v>
      </c>
      <c r="AI56" s="1">
        <f t="shared" si="49"/>
        <v>81081000</v>
      </c>
      <c r="AJ56" s="1">
        <f t="shared" si="50"/>
        <v>3461137438.240334</v>
      </c>
      <c r="AK56" s="1">
        <f t="shared" si="51"/>
        <v>3464598575.6785746</v>
      </c>
      <c r="AL56" s="39">
        <f>+AJ56/('Volcano Summary'!C$8)*10^6</f>
        <v>240.2821222040904</v>
      </c>
      <c r="AM56" s="1">
        <f t="shared" si="16"/>
        <v>2529.1236846760426</v>
      </c>
    </row>
    <row r="57" spans="1:39" ht="12.75" hidden="1">
      <c r="A57" s="1">
        <f t="shared" si="43"/>
        <v>3186048.256869908</v>
      </c>
      <c r="B57" s="1">
        <f t="shared" si="44"/>
        <v>2565.427289292482</v>
      </c>
      <c r="C57" s="1">
        <v>164</v>
      </c>
      <c r="D57" s="12">
        <f t="shared" si="19"/>
        <v>14.450303987687134</v>
      </c>
      <c r="E57" s="38">
        <f t="shared" si="0"/>
        <v>152563088.10015896</v>
      </c>
      <c r="F57" s="38">
        <f t="shared" si="1"/>
        <v>98090137.46091977</v>
      </c>
      <c r="G57" s="38">
        <f t="shared" si="2"/>
        <v>43617186.821680605</v>
      </c>
      <c r="H57" s="18">
        <f t="shared" si="20"/>
        <v>0.03460134820873262</v>
      </c>
      <c r="I57" s="50">
        <f aca="true" t="shared" si="54" ref="I57:I78">+I$55*LN(H$55)/LN(H57)</f>
        <v>0.05977978340416146</v>
      </c>
      <c r="J57" s="3">
        <f t="shared" si="21"/>
        <v>208.34611014100057</v>
      </c>
      <c r="K57" s="12">
        <f t="shared" si="31"/>
        <v>1.0036480456010506</v>
      </c>
      <c r="L57" s="3">
        <f t="shared" si="22"/>
        <v>1585.843544502609</v>
      </c>
      <c r="M57" s="12">
        <v>0.718</v>
      </c>
      <c r="N57" s="37">
        <f t="shared" si="23"/>
        <v>231.98933800892556</v>
      </c>
      <c r="O57" s="1">
        <f t="shared" si="3"/>
        <v>12391.018467488364</v>
      </c>
      <c r="P57">
        <f t="shared" si="24"/>
        <v>111.3149516798546</v>
      </c>
      <c r="Q57" s="1">
        <f t="shared" si="25"/>
        <v>25.823881950705008</v>
      </c>
      <c r="R57" s="1">
        <f>+Q57*1000/'Material Properties'!AE$35</f>
        <v>22146.21028367907</v>
      </c>
      <c r="S57" s="1">
        <f t="shared" si="26"/>
        <v>135.03786758340897</v>
      </c>
      <c r="T57" s="1">
        <f t="shared" si="27"/>
        <v>-5.7852295664772555</v>
      </c>
      <c r="U57">
        <f t="shared" si="4"/>
        <v>-0.0017558847303434982</v>
      </c>
      <c r="V57">
        <f>+'Material Properties'!AE$31+'Material Properties'!AE$33</f>
        <v>0.00029034311030761144</v>
      </c>
      <c r="W57">
        <f t="shared" si="45"/>
        <v>-0.0014655416200358867</v>
      </c>
      <c r="X57" s="1">
        <f>+'Volcano Summary'!E$12*10^9/Q57/3600/24/365</f>
        <v>0</v>
      </c>
      <c r="Y57" s="3">
        <f t="shared" si="52"/>
        <v>2</v>
      </c>
      <c r="Z57" s="1">
        <f>+Y57*'Volcano Summary'!B$19*'Volcano Summary'!B$20/1000</f>
        <v>81000</v>
      </c>
      <c r="AA57" s="1">
        <f t="shared" si="7"/>
        <v>3136631.438860363</v>
      </c>
      <c r="AB57" s="3">
        <f t="shared" si="32"/>
        <v>871.2865107945453</v>
      </c>
      <c r="AC57" s="1">
        <f t="shared" si="46"/>
        <v>221652917.79487035</v>
      </c>
      <c r="AD57" s="36">
        <f t="shared" si="47"/>
        <v>61570.254943019565</v>
      </c>
      <c r="AE57" s="36">
        <f t="shared" si="28"/>
        <v>2565.427289292482</v>
      </c>
      <c r="AG57" s="1">
        <f t="shared" si="11"/>
        <v>81000000</v>
      </c>
      <c r="AH57" s="1">
        <f t="shared" si="48"/>
        <v>81000</v>
      </c>
      <c r="AI57" s="1">
        <f t="shared" si="49"/>
        <v>81081000</v>
      </c>
      <c r="AJ57" s="1">
        <f t="shared" si="50"/>
        <v>3542137438.240334</v>
      </c>
      <c r="AK57" s="1">
        <f t="shared" si="51"/>
        <v>3545679575.6785746</v>
      </c>
      <c r="AL57" s="39">
        <f>+AJ57/('Volcano Summary'!C$8)*10^6</f>
        <v>245.9053753241475</v>
      </c>
      <c r="AM57" s="1">
        <f t="shared" si="16"/>
        <v>2565.427289292482</v>
      </c>
    </row>
    <row r="58" spans="1:39" ht="12.75" hidden="1">
      <c r="A58" s="1">
        <f aca="true" t="shared" si="55" ref="A58:A69">+AA40</f>
        <v>4283041.118040078</v>
      </c>
      <c r="B58" s="1">
        <f>+AE58</f>
        <v>1883.65991250962</v>
      </c>
      <c r="C58" s="1">
        <v>166</v>
      </c>
      <c r="D58" s="12">
        <f t="shared" si="19"/>
        <v>14.538148590038452</v>
      </c>
      <c r="E58" s="38">
        <f t="shared" si="0"/>
        <v>153490531.82861388</v>
      </c>
      <c r="F58" s="38">
        <f t="shared" si="1"/>
        <v>98686435.58220379</v>
      </c>
      <c r="G58" s="38">
        <f t="shared" si="2"/>
        <v>43882339.335793704</v>
      </c>
      <c r="H58" s="18">
        <f t="shared" si="20"/>
        <v>0.03439227470426326</v>
      </c>
      <c r="I58" s="50">
        <f t="shared" si="54"/>
        <v>0.059672271713238585</v>
      </c>
      <c r="J58" s="3">
        <f t="shared" si="21"/>
        <v>206.72651609891395</v>
      </c>
      <c r="K58" s="12">
        <f t="shared" si="31"/>
        <v>1.002487336537555</v>
      </c>
      <c r="L58" s="3">
        <f t="shared" si="22"/>
        <v>1584.0095320881398</v>
      </c>
      <c r="M58" s="12">
        <v>0.718</v>
      </c>
      <c r="N58" s="37">
        <f t="shared" si="23"/>
        <v>234.81847627732716</v>
      </c>
      <c r="O58" s="1">
        <f t="shared" si="3"/>
        <v>12473.653251693366</v>
      </c>
      <c r="P58">
        <f t="shared" si="24"/>
        <v>111.68551048230637</v>
      </c>
      <c r="Q58" s="1">
        <f t="shared" si="25"/>
        <v>26.225821393710635</v>
      </c>
      <c r="R58" s="1">
        <f>+Q58*1000/'Material Properties'!AE$35</f>
        <v>22490.90808872245</v>
      </c>
      <c r="S58" s="1">
        <f t="shared" si="26"/>
        <v>135.48739812483404</v>
      </c>
      <c r="T58" s="1">
        <f t="shared" si="27"/>
        <v>-3.9399647849984376</v>
      </c>
      <c r="U58">
        <f t="shared" si="4"/>
        <v>-0.0028217103179385703</v>
      </c>
      <c r="V58">
        <f>+'Material Properties'!AE$31+'Material Properties'!AE$33</f>
        <v>0.00029034311030761144</v>
      </c>
      <c r="W58">
        <f>+V58+U58</f>
        <v>-0.002531367207630959</v>
      </c>
      <c r="X58" s="1">
        <f>+'Volcano Summary'!E$12*10^9/Q58/3600/24/365</f>
        <v>0</v>
      </c>
      <c r="Y58" s="3">
        <f t="shared" si="52"/>
        <v>2</v>
      </c>
      <c r="Z58" s="1">
        <f>+Y58*'Volcano Summary'!B$19*'Volcano Summary'!B$20/1000</f>
        <v>81000</v>
      </c>
      <c r="AA58" s="1">
        <f t="shared" si="7"/>
        <v>3088559.1259088293</v>
      </c>
      <c r="AB58" s="3">
        <f t="shared" si="32"/>
        <v>857.9330905302304</v>
      </c>
      <c r="AC58" s="1">
        <f aca="true" t="shared" si="56" ref="AC58:AC69">+AC40+AA58</f>
        <v>162748216.4408311</v>
      </c>
      <c r="AD58" s="36">
        <f aca="true" t="shared" si="57" ref="AD58:AD69">+AD40+AB58</f>
        <v>45207.83790023088</v>
      </c>
      <c r="AE58" s="36">
        <f t="shared" si="28"/>
        <v>1883.65991250962</v>
      </c>
      <c r="AG58" s="1">
        <f t="shared" si="11"/>
        <v>81000000</v>
      </c>
      <c r="AH58" s="1">
        <f>+Z58</f>
        <v>81000</v>
      </c>
      <c r="AI58" s="1">
        <f>+AH58+AG58</f>
        <v>81081000</v>
      </c>
      <c r="AJ58" s="1">
        <f aca="true" t="shared" si="58" ref="AJ58:AJ69">+AJ40+AG58</f>
        <v>2246137438.240334</v>
      </c>
      <c r="AK58" s="1">
        <f aca="true" t="shared" si="59" ref="AK58:AK69">+AK40+AI58</f>
        <v>2248383575.6785746</v>
      </c>
      <c r="AL58" s="39">
        <f>+AJ58/('Volcano Summary'!C$8)*10^6</f>
        <v>155.93332540323422</v>
      </c>
      <c r="AM58" s="1">
        <f t="shared" si="16"/>
        <v>1883.65991250962</v>
      </c>
    </row>
    <row r="59" spans="1:39" ht="12.75" hidden="1">
      <c r="A59" s="1">
        <f t="shared" si="55"/>
        <v>4200888.802925565</v>
      </c>
      <c r="B59" s="1">
        <f aca="true" t="shared" si="60" ref="B59:B87">+AE59</f>
        <v>1931.7398783037704</v>
      </c>
      <c r="C59" s="1">
        <v>168</v>
      </c>
      <c r="D59" s="12">
        <f t="shared" si="19"/>
        <v>14.625465582862905</v>
      </c>
      <c r="E59" s="38">
        <f t="shared" si="0"/>
        <v>154412405.173304</v>
      </c>
      <c r="F59" s="38">
        <f t="shared" si="1"/>
        <v>99279152.23620103</v>
      </c>
      <c r="G59" s="38">
        <f t="shared" si="2"/>
        <v>44145899.29909805</v>
      </c>
      <c r="H59" s="18">
        <f t="shared" si="20"/>
        <v>0.03418694585599141</v>
      </c>
      <c r="I59" s="50">
        <f t="shared" si="54"/>
        <v>0.0595664267368927</v>
      </c>
      <c r="J59" s="3">
        <f t="shared" si="21"/>
        <v>205.13942056890298</v>
      </c>
      <c r="K59" s="12">
        <f t="shared" si="31"/>
        <v>1.0013499180743806</v>
      </c>
      <c r="L59" s="3">
        <f t="shared" si="22"/>
        <v>1582.212320670124</v>
      </c>
      <c r="M59" s="12">
        <v>0.718</v>
      </c>
      <c r="N59" s="37">
        <f t="shared" si="23"/>
        <v>237.64761454572874</v>
      </c>
      <c r="O59" s="1">
        <f t="shared" si="3"/>
        <v>12555.895706968407</v>
      </c>
      <c r="P59">
        <f t="shared" si="24"/>
        <v>112.0530932503356</v>
      </c>
      <c r="Q59" s="1">
        <f t="shared" si="25"/>
        <v>26.629150313412357</v>
      </c>
      <c r="R59" s="1">
        <f>+Q59*1000/'Material Properties'!AE$35</f>
        <v>22836.797490101148</v>
      </c>
      <c r="S59" s="1">
        <f t="shared" si="26"/>
        <v>135.93331839345922</v>
      </c>
      <c r="T59" s="1">
        <f t="shared" si="27"/>
        <v>-2.1358570091801994</v>
      </c>
      <c r="U59">
        <f t="shared" si="4"/>
        <v>-0.006940851519457023</v>
      </c>
      <c r="V59">
        <f>+'Material Properties'!AE$31+'Material Properties'!AE$33</f>
        <v>0.00029034311030761144</v>
      </c>
      <c r="W59">
        <f aca="true" t="shared" si="61" ref="W59:W87">+V59+U59</f>
        <v>-0.006650508409149412</v>
      </c>
      <c r="X59" s="1">
        <f>+'Volcano Summary'!E$12*10^9/Q59/3600/24/365</f>
        <v>0</v>
      </c>
      <c r="Y59" s="3">
        <f t="shared" si="52"/>
        <v>2</v>
      </c>
      <c r="Z59" s="1">
        <f>+Y59*'Volcano Summary'!B$19*'Volcano Summary'!B$20/1000</f>
        <v>81000</v>
      </c>
      <c r="AA59" s="1">
        <f t="shared" si="7"/>
        <v>3041779.3675978677</v>
      </c>
      <c r="AB59" s="3">
        <f t="shared" si="32"/>
        <v>844.9387132216299</v>
      </c>
      <c r="AC59" s="1">
        <f t="shared" si="56"/>
        <v>166902325.4854457</v>
      </c>
      <c r="AD59" s="36">
        <f t="shared" si="57"/>
        <v>46361.75707929049</v>
      </c>
      <c r="AE59" s="36">
        <f t="shared" si="28"/>
        <v>1931.7398783037704</v>
      </c>
      <c r="AG59" s="1">
        <f t="shared" si="11"/>
        <v>81000000</v>
      </c>
      <c r="AH59" s="1">
        <f aca="true" t="shared" si="62" ref="AH59:AH87">+Z59</f>
        <v>81000</v>
      </c>
      <c r="AI59" s="1">
        <f aca="true" t="shared" si="63" ref="AI59:AI87">+AH59+AG59</f>
        <v>81081000</v>
      </c>
      <c r="AJ59" s="1">
        <f t="shared" si="58"/>
        <v>2327137438.240334</v>
      </c>
      <c r="AK59" s="1">
        <f t="shared" si="59"/>
        <v>2329464575.6785746</v>
      </c>
      <c r="AL59" s="39">
        <f>+AJ59/('Volcano Summary'!C$8)*10^6</f>
        <v>161.5565785232913</v>
      </c>
      <c r="AM59" s="1">
        <f t="shared" si="16"/>
        <v>1931.7398783037704</v>
      </c>
    </row>
    <row r="60" spans="1:39" ht="12.75" hidden="1">
      <c r="A60" s="1">
        <f t="shared" si="55"/>
        <v>4121494.201054821</v>
      </c>
      <c r="B60" s="1">
        <f t="shared" si="60"/>
        <v>1978.9153138941085</v>
      </c>
      <c r="C60" s="1">
        <v>170</v>
      </c>
      <c r="D60" s="12">
        <f t="shared" si="19"/>
        <v>14.712264360219255</v>
      </c>
      <c r="E60" s="38">
        <f t="shared" si="0"/>
        <v>155328807.31460747</v>
      </c>
      <c r="F60" s="38">
        <f t="shared" si="1"/>
        <v>99868351.19074057</v>
      </c>
      <c r="G60" s="38">
        <f t="shared" si="2"/>
        <v>44407895.06687368</v>
      </c>
      <c r="H60" s="18">
        <f t="shared" si="20"/>
        <v>0.033985251199805694</v>
      </c>
      <c r="I60" s="50">
        <f t="shared" si="54"/>
        <v>0.059462202598101824</v>
      </c>
      <c r="J60" s="3">
        <f t="shared" si="21"/>
        <v>203.58378921902292</v>
      </c>
      <c r="K60" s="12">
        <f t="shared" si="31"/>
        <v>1.0002350489402998</v>
      </c>
      <c r="L60" s="3">
        <f t="shared" si="22"/>
        <v>1580.450738981208</v>
      </c>
      <c r="M60" s="12">
        <v>0.718</v>
      </c>
      <c r="N60" s="37">
        <f t="shared" si="23"/>
        <v>240.4767528141302</v>
      </c>
      <c r="O60" s="1">
        <f t="shared" si="3"/>
        <v>12637.752113952556</v>
      </c>
      <c r="P60">
        <f t="shared" si="24"/>
        <v>112.41775711137701</v>
      </c>
      <c r="Q60" s="1">
        <f t="shared" si="25"/>
        <v>27.03385718879154</v>
      </c>
      <c r="R60" s="1">
        <f>+Q60*1000/'Material Properties'!AE$35</f>
        <v>23183.868607546112</v>
      </c>
      <c r="S60" s="1">
        <f t="shared" si="26"/>
        <v>136.37569769144773</v>
      </c>
      <c r="T60" s="1">
        <f t="shared" si="27"/>
        <v>-0.37148327139357207</v>
      </c>
      <c r="U60">
        <f t="shared" si="4"/>
        <v>0.016230139058451123</v>
      </c>
      <c r="V60">
        <f>+'Material Properties'!AE$31+'Material Properties'!AE$33</f>
        <v>0.00029034311030761144</v>
      </c>
      <c r="W60">
        <f t="shared" si="61"/>
        <v>0.016520482168758736</v>
      </c>
      <c r="X60" s="1">
        <f>+'Volcano Summary'!E$12*10^9/Q60/3600/24/365</f>
        <v>0</v>
      </c>
      <c r="Y60" s="3">
        <f t="shared" si="52"/>
        <v>2</v>
      </c>
      <c r="Z60" s="1">
        <f>+Y60*'Volcano Summary'!B$19*'Volcano Summary'!B$20/1000</f>
        <v>81000</v>
      </c>
      <c r="AA60" s="1">
        <f t="shared" si="7"/>
        <v>2996242.8015482477</v>
      </c>
      <c r="AB60" s="3">
        <f t="shared" si="32"/>
        <v>832.2896670967355</v>
      </c>
      <c r="AC60" s="1">
        <f t="shared" si="56"/>
        <v>170978283.12045088</v>
      </c>
      <c r="AD60" s="36">
        <f t="shared" si="57"/>
        <v>47493.967533458606</v>
      </c>
      <c r="AE60" s="36">
        <f t="shared" si="28"/>
        <v>1978.9153138941085</v>
      </c>
      <c r="AG60" s="1">
        <f t="shared" si="11"/>
        <v>81000000</v>
      </c>
      <c r="AH60" s="1">
        <f t="shared" si="62"/>
        <v>81000</v>
      </c>
      <c r="AI60" s="1">
        <f t="shared" si="63"/>
        <v>81081000</v>
      </c>
      <c r="AJ60" s="1">
        <f t="shared" si="58"/>
        <v>2408137438.240334</v>
      </c>
      <c r="AK60" s="1">
        <f t="shared" si="59"/>
        <v>2410545575.6785746</v>
      </c>
      <c r="AL60" s="39">
        <f>+AJ60/('Volcano Summary'!C$8)*10^6</f>
        <v>167.1798316433484</v>
      </c>
      <c r="AM60" s="1">
        <f t="shared" si="16"/>
        <v>1978.9153138941085</v>
      </c>
    </row>
    <row r="61" spans="1:39" ht="12.75" hidden="1">
      <c r="A61" s="1">
        <f t="shared" si="55"/>
        <v>4044726.148705183</v>
      </c>
      <c r="B61" s="1">
        <f t="shared" si="60"/>
        <v>2025.216075969978</v>
      </c>
      <c r="C61" s="1">
        <v>172</v>
      </c>
      <c r="D61" s="12">
        <f t="shared" si="19"/>
        <v>14.798554040663838</v>
      </c>
      <c r="E61" s="38">
        <f t="shared" si="0"/>
        <v>156239834.52420935</v>
      </c>
      <c r="F61" s="38">
        <f t="shared" si="1"/>
        <v>100454094.34351303</v>
      </c>
      <c r="G61" s="38">
        <f t="shared" si="2"/>
        <v>44668354.16281667</v>
      </c>
      <c r="H61" s="18">
        <f t="shared" si="20"/>
        <v>0.03378708478045135</v>
      </c>
      <c r="I61" s="50">
        <f t="shared" si="54"/>
        <v>0.059359555215176565</v>
      </c>
      <c r="J61" s="3">
        <f t="shared" si="21"/>
        <v>202.0586324585054</v>
      </c>
      <c r="K61" s="12">
        <f t="shared" si="31"/>
        <v>0.9991420199285956</v>
      </c>
      <c r="L61" s="3">
        <f t="shared" si="22"/>
        <v>1578.723666418508</v>
      </c>
      <c r="M61" s="12">
        <v>0.718</v>
      </c>
      <c r="N61" s="37">
        <f t="shared" si="23"/>
        <v>243.30589108253173</v>
      </c>
      <c r="O61" s="1">
        <f t="shared" si="3"/>
        <v>12719.228581252955</v>
      </c>
      <c r="P61">
        <f t="shared" si="24"/>
        <v>112.77955746168254</v>
      </c>
      <c r="Q61" s="1">
        <f t="shared" si="25"/>
        <v>27.43993072410826</v>
      </c>
      <c r="R61" s="1">
        <f>+Q61*1000/'Material Properties'!AE$35</f>
        <v>23532.11175398427</v>
      </c>
      <c r="S61" s="1">
        <f t="shared" si="26"/>
        <v>136.8146032208388</v>
      </c>
      <c r="T61" s="1">
        <f t="shared" si="27"/>
        <v>1.3545134440414586</v>
      </c>
      <c r="U61">
        <f t="shared" si="4"/>
        <v>0.0038047677305588336</v>
      </c>
      <c r="V61">
        <f>+'Material Properties'!AE$31+'Material Properties'!AE$33</f>
        <v>0.00029034311030761144</v>
      </c>
      <c r="W61">
        <f t="shared" si="61"/>
        <v>0.004095110840866445</v>
      </c>
      <c r="X61" s="1">
        <f>+'Volcano Summary'!E$12*10^9/Q61/3600/24/365</f>
        <v>0</v>
      </c>
      <c r="Y61" s="3">
        <f t="shared" si="52"/>
        <v>2</v>
      </c>
      <c r="Z61" s="1">
        <f>+Y61*'Volcano Summary'!B$19*'Volcano Summary'!B$20/1000</f>
        <v>81000</v>
      </c>
      <c r="AA61" s="1">
        <f t="shared" si="7"/>
        <v>2951902.496198169</v>
      </c>
      <c r="AB61" s="3">
        <f t="shared" si="32"/>
        <v>819.9729156106025</v>
      </c>
      <c r="AC61" s="1">
        <f t="shared" si="56"/>
        <v>174978668.963806</v>
      </c>
      <c r="AD61" s="36">
        <f t="shared" si="57"/>
        <v>48605.18582327947</v>
      </c>
      <c r="AE61" s="36">
        <f t="shared" si="28"/>
        <v>2025.216075969978</v>
      </c>
      <c r="AG61" s="1">
        <f t="shared" si="11"/>
        <v>81000000.00000001</v>
      </c>
      <c r="AH61" s="1">
        <f t="shared" si="62"/>
        <v>81000</v>
      </c>
      <c r="AI61" s="1">
        <f t="shared" si="63"/>
        <v>81081000.00000001</v>
      </c>
      <c r="AJ61" s="1">
        <f t="shared" si="58"/>
        <v>2489137438.240334</v>
      </c>
      <c r="AK61" s="1">
        <f t="shared" si="59"/>
        <v>2491626575.6785746</v>
      </c>
      <c r="AL61" s="39">
        <f>+AJ61/('Volcano Summary'!C$8)*10^6</f>
        <v>172.80308476340545</v>
      </c>
      <c r="AM61" s="1">
        <f t="shared" si="16"/>
        <v>2025.216075969978</v>
      </c>
    </row>
    <row r="62" spans="1:39" ht="12.75" hidden="1">
      <c r="A62" s="1">
        <f t="shared" si="55"/>
        <v>3970461.5065409113</v>
      </c>
      <c r="B62" s="1">
        <f t="shared" si="60"/>
        <v>2070.6706224417035</v>
      </c>
      <c r="C62" s="1">
        <v>174</v>
      </c>
      <c r="D62" s="12">
        <f t="shared" si="19"/>
        <v>14.884343478431232</v>
      </c>
      <c r="E62" s="38">
        <f t="shared" si="0"/>
        <v>157145580.28314444</v>
      </c>
      <c r="F62" s="38">
        <f t="shared" si="1"/>
        <v>101036441.79796581</v>
      </c>
      <c r="G62" s="38">
        <f t="shared" si="2"/>
        <v>44927303.312787205</v>
      </c>
      <c r="H62" s="18">
        <f t="shared" si="20"/>
        <v>0.033592344917634125</v>
      </c>
      <c r="I62" s="50">
        <f t="shared" si="54"/>
        <v>0.05925844221124899</v>
      </c>
      <c r="J62" s="3">
        <f t="shared" si="21"/>
        <v>200.56300300419656</v>
      </c>
      <c r="K62" s="12">
        <f t="shared" si="31"/>
        <v>0.9980701521530077</v>
      </c>
      <c r="L62" s="3">
        <f t="shared" si="22"/>
        <v>1577.0300302878675</v>
      </c>
      <c r="M62" s="12">
        <v>0.718</v>
      </c>
      <c r="N62" s="37">
        <f t="shared" si="23"/>
        <v>246.1350293509333</v>
      </c>
      <c r="O62" s="1">
        <f t="shared" si="3"/>
        <v>12800.331052077849</v>
      </c>
      <c r="P62">
        <f t="shared" si="24"/>
        <v>113.13854803769513</v>
      </c>
      <c r="Q62" s="1">
        <f t="shared" si="25"/>
        <v>27.84735984198007</v>
      </c>
      <c r="R62" s="1">
        <f>+Q62*1000/'Material Properties'!AE$35</f>
        <v>23881.517429602944</v>
      </c>
      <c r="S62" s="1">
        <f t="shared" si="26"/>
        <v>137.25010017013187</v>
      </c>
      <c r="T62" s="1">
        <f t="shared" si="27"/>
        <v>3.0434280085933096</v>
      </c>
      <c r="U62">
        <f t="shared" si="4"/>
        <v>0.0021752394062494597</v>
      </c>
      <c r="V62">
        <f>+'Material Properties'!AE$31+'Material Properties'!AE$33</f>
        <v>0.00029034311030761144</v>
      </c>
      <c r="W62">
        <f t="shared" si="61"/>
        <v>0.002465582516557071</v>
      </c>
      <c r="X62" s="1">
        <f>+'Volcano Summary'!E$12*10^9/Q62/3600/24/365</f>
        <v>0</v>
      </c>
      <c r="Y62" s="3">
        <f t="shared" si="52"/>
        <v>2</v>
      </c>
      <c r="Z62" s="1">
        <f>+Y62*'Volcano Summary'!B$19*'Volcano Summary'!B$20/1000</f>
        <v>81000</v>
      </c>
      <c r="AA62" s="1">
        <f t="shared" si="7"/>
        <v>2908713.804814344</v>
      </c>
      <c r="AB62" s="3">
        <f t="shared" si="32"/>
        <v>807.9760568928733</v>
      </c>
      <c r="AC62" s="1">
        <f t="shared" si="56"/>
        <v>178905941.7789631</v>
      </c>
      <c r="AD62" s="36">
        <f t="shared" si="57"/>
        <v>49696.09493860088</v>
      </c>
      <c r="AE62" s="36">
        <f t="shared" si="28"/>
        <v>2070.6706224417035</v>
      </c>
      <c r="AG62" s="1">
        <f t="shared" si="11"/>
        <v>81000000.00000001</v>
      </c>
      <c r="AH62" s="1">
        <f t="shared" si="62"/>
        <v>81000</v>
      </c>
      <c r="AI62" s="1">
        <f t="shared" si="63"/>
        <v>81081000.00000001</v>
      </c>
      <c r="AJ62" s="1">
        <f t="shared" si="58"/>
        <v>2570137438.240334</v>
      </c>
      <c r="AK62" s="1">
        <f t="shared" si="59"/>
        <v>2572707575.6785746</v>
      </c>
      <c r="AL62" s="39">
        <f>+AJ62/('Volcano Summary'!C$8)*10^6</f>
        <v>178.42633788346254</v>
      </c>
      <c r="AM62" s="1">
        <f t="shared" si="16"/>
        <v>2070.6706224417035</v>
      </c>
    </row>
    <row r="63" spans="1:39" ht="12.75" hidden="1">
      <c r="A63" s="1">
        <f t="shared" si="55"/>
        <v>3898584.562383742</v>
      </c>
      <c r="B63" s="1">
        <f t="shared" si="60"/>
        <v>2115.3060968327272</v>
      </c>
      <c r="C63" s="1">
        <v>176</v>
      </c>
      <c r="D63" s="12">
        <f t="shared" si="19"/>
        <v>14.96964127403822</v>
      </c>
      <c r="E63" s="38">
        <f t="shared" si="0"/>
        <v>158046135.39375156</v>
      </c>
      <c r="F63" s="38">
        <f t="shared" si="1"/>
        <v>101615451.93528417</v>
      </c>
      <c r="G63" s="38">
        <f t="shared" si="2"/>
        <v>45184768.47681681</v>
      </c>
      <c r="H63" s="18">
        <f t="shared" si="20"/>
        <v>0.03340093398678482</v>
      </c>
      <c r="I63" s="50">
        <f t="shared" si="54"/>
        <v>0.05915882282931915</v>
      </c>
      <c r="J63" s="3">
        <f t="shared" si="21"/>
        <v>199.09599360579875</v>
      </c>
      <c r="K63" s="12">
        <f t="shared" si="31"/>
        <v>0.9970187954174892</v>
      </c>
      <c r="L63" s="3">
        <f t="shared" si="22"/>
        <v>1575.3688032279445</v>
      </c>
      <c r="M63" s="12">
        <v>0.718</v>
      </c>
      <c r="N63" s="37">
        <f t="shared" si="23"/>
        <v>248.96416761933477</v>
      </c>
      <c r="O63" s="1">
        <f t="shared" si="3"/>
        <v>12881.065310541353</v>
      </c>
      <c r="P63">
        <f t="shared" si="24"/>
        <v>113.49478098371463</v>
      </c>
      <c r="Q63" s="1">
        <f t="shared" si="25"/>
        <v>28.25613367674922</v>
      </c>
      <c r="R63" s="1">
        <f>+Q63*1000/'Material Properties'!AE$35</f>
        <v>24232.076316161685</v>
      </c>
      <c r="S63" s="1">
        <f t="shared" si="26"/>
        <v>137.6822517963732</v>
      </c>
      <c r="T63" s="1">
        <f t="shared" si="27"/>
        <v>4.6964966953278235</v>
      </c>
      <c r="U63">
        <f t="shared" si="4"/>
        <v>0.0015327267158329904</v>
      </c>
      <c r="V63">
        <f>+'Material Properties'!AE$31+'Material Properties'!AE$33</f>
        <v>0.00029034311030761144</v>
      </c>
      <c r="W63">
        <f t="shared" si="61"/>
        <v>0.0018230698261406018</v>
      </c>
      <c r="X63" s="1">
        <f>+'Volcano Summary'!E$12*10^9/Q63/3600/24/365</f>
        <v>0</v>
      </c>
      <c r="Y63" s="3">
        <f t="shared" si="52"/>
        <v>2</v>
      </c>
      <c r="Z63" s="1">
        <f>+Y63*'Volcano Summary'!B$19*'Volcano Summary'!B$20/1000</f>
        <v>81000</v>
      </c>
      <c r="AA63" s="1">
        <f t="shared" si="7"/>
        <v>2866634.229815082</v>
      </c>
      <c r="AB63" s="3">
        <f t="shared" si="32"/>
        <v>796.287286059745</v>
      </c>
      <c r="AC63" s="1">
        <f t="shared" si="56"/>
        <v>182762446.7663476</v>
      </c>
      <c r="AD63" s="36">
        <f t="shared" si="57"/>
        <v>50767.34632398545</v>
      </c>
      <c r="AE63" s="36">
        <f t="shared" si="28"/>
        <v>2115.3060968327272</v>
      </c>
      <c r="AG63" s="1">
        <f t="shared" si="11"/>
        <v>81000000</v>
      </c>
      <c r="AH63" s="1">
        <f t="shared" si="62"/>
        <v>81000</v>
      </c>
      <c r="AI63" s="1">
        <f t="shared" si="63"/>
        <v>81081000</v>
      </c>
      <c r="AJ63" s="1">
        <f t="shared" si="58"/>
        <v>2651137438.240334</v>
      </c>
      <c r="AK63" s="1">
        <f t="shared" si="59"/>
        <v>2653788575.6785746</v>
      </c>
      <c r="AL63" s="39">
        <f>+AJ63/('Volcano Summary'!C$8)*10^6</f>
        <v>184.04959100351962</v>
      </c>
      <c r="AM63" s="1">
        <f t="shared" si="16"/>
        <v>2115.3060968327272</v>
      </c>
    </row>
    <row r="64" spans="1:39" ht="12.75" hidden="1">
      <c r="A64" s="1">
        <f t="shared" si="55"/>
        <v>3828986.4861330166</v>
      </c>
      <c r="B64" s="1">
        <f t="shared" si="60"/>
        <v>2159.148406472637</v>
      </c>
      <c r="C64" s="1">
        <v>178</v>
      </c>
      <c r="D64" s="12">
        <f t="shared" si="19"/>
        <v>15.054455784347004</v>
      </c>
      <c r="E64" s="38">
        <f t="shared" si="0"/>
        <v>158941588.08591887</v>
      </c>
      <c r="F64" s="38">
        <f t="shared" si="1"/>
        <v>102191181.48270118</v>
      </c>
      <c r="G64" s="38">
        <f t="shared" si="2"/>
        <v>45440774.879483484</v>
      </c>
      <c r="H64" s="18">
        <f t="shared" si="20"/>
        <v>0.033212758213410756</v>
      </c>
      <c r="I64" s="50">
        <f t="shared" si="54"/>
        <v>0.059060657852458565</v>
      </c>
      <c r="J64" s="3">
        <f t="shared" si="21"/>
        <v>197.65673491786853</v>
      </c>
      <c r="K64" s="12">
        <f t="shared" si="31"/>
        <v>0.9959873266911392</v>
      </c>
      <c r="L64" s="3">
        <f t="shared" si="22"/>
        <v>1573.7390008004822</v>
      </c>
      <c r="M64" s="12">
        <v>0.718</v>
      </c>
      <c r="N64" s="37">
        <f t="shared" si="23"/>
        <v>251.79330588773632</v>
      </c>
      <c r="O64" s="1">
        <f t="shared" si="3"/>
        <v>12961.4369876597</v>
      </c>
      <c r="P64">
        <f t="shared" si="24"/>
        <v>113.84830691608768</v>
      </c>
      <c r="Q64" s="1">
        <f t="shared" si="25"/>
        <v>28.66624156812335</v>
      </c>
      <c r="R64" s="1">
        <f>+Q64*1000/'Material Properties'!AE$35</f>
        <v>24583.779271538606</v>
      </c>
      <c r="S64" s="1">
        <f t="shared" si="26"/>
        <v>138.11111950302586</v>
      </c>
      <c r="T64" s="1">
        <f t="shared" si="27"/>
        <v>6.314900483625252</v>
      </c>
      <c r="U64">
        <f t="shared" si="4"/>
        <v>0.0011889145275763922</v>
      </c>
      <c r="V64">
        <f>+'Material Properties'!AE$31+'Material Properties'!AE$33</f>
        <v>0.00029034311030761144</v>
      </c>
      <c r="W64">
        <f t="shared" si="61"/>
        <v>0.0014792576378840037</v>
      </c>
      <c r="X64" s="1">
        <f>+'Volcano Summary'!E$12*10^9/Q64/3600/24/365</f>
        <v>0</v>
      </c>
      <c r="Y64" s="3">
        <f t="shared" si="52"/>
        <v>2</v>
      </c>
      <c r="Z64" s="1">
        <f>+Y64*'Volcano Summary'!B$19*'Volcano Summary'!B$20/1000</f>
        <v>81000</v>
      </c>
      <c r="AA64" s="1">
        <f t="shared" si="7"/>
        <v>2825623.2965702554</v>
      </c>
      <c r="AB64" s="3">
        <f t="shared" si="32"/>
        <v>784.8953601584043</v>
      </c>
      <c r="AC64" s="1">
        <f t="shared" si="56"/>
        <v>186550422.31923574</v>
      </c>
      <c r="AD64" s="36">
        <f t="shared" si="57"/>
        <v>51819.56175534329</v>
      </c>
      <c r="AE64" s="36">
        <f t="shared" si="28"/>
        <v>2159.148406472637</v>
      </c>
      <c r="AG64" s="1">
        <f t="shared" si="11"/>
        <v>80999999.99999999</v>
      </c>
      <c r="AH64" s="1">
        <f t="shared" si="62"/>
        <v>81000</v>
      </c>
      <c r="AI64" s="1">
        <f t="shared" si="63"/>
        <v>81080999.99999999</v>
      </c>
      <c r="AJ64" s="1">
        <f t="shared" si="58"/>
        <v>2732137438.240334</v>
      </c>
      <c r="AK64" s="1">
        <f t="shared" si="59"/>
        <v>2734869575.6785746</v>
      </c>
      <c r="AL64" s="39">
        <f>+AJ64/('Volcano Summary'!C$8)*10^6</f>
        <v>189.6728441235767</v>
      </c>
      <c r="AM64" s="1">
        <f t="shared" si="16"/>
        <v>2159.148406472637</v>
      </c>
    </row>
    <row r="65" spans="1:39" ht="12.75" hidden="1">
      <c r="A65" s="1">
        <f t="shared" si="55"/>
        <v>3761564.8316273373</v>
      </c>
      <c r="B65" s="1">
        <f t="shared" si="60"/>
        <v>2202.2222950256023</v>
      </c>
      <c r="C65" s="1">
        <v>180</v>
      </c>
      <c r="D65" s="12">
        <f t="shared" si="19"/>
        <v>15.138795132120961</v>
      </c>
      <c r="E65" s="38">
        <f t="shared" si="0"/>
        <v>159832024.11797136</v>
      </c>
      <c r="F65" s="38">
        <f t="shared" si="1"/>
        <v>102763685.5783632</v>
      </c>
      <c r="G65" s="38">
        <f t="shared" si="2"/>
        <v>45695347.03875501</v>
      </c>
      <c r="H65" s="18">
        <f t="shared" si="20"/>
        <v>0.03302772748005009</v>
      </c>
      <c r="I65" s="50">
        <f t="shared" si="54"/>
        <v>0.05896390952880292</v>
      </c>
      <c r="J65" s="3">
        <f t="shared" si="21"/>
        <v>196.24439350756316</v>
      </c>
      <c r="K65" s="12">
        <f t="shared" si="31"/>
        <v>0.9949751486804204</v>
      </c>
      <c r="L65" s="3">
        <f t="shared" si="22"/>
        <v>1572.1396792343003</v>
      </c>
      <c r="M65" s="12">
        <v>0.718</v>
      </c>
      <c r="N65" s="37">
        <f t="shared" si="23"/>
        <v>254.6224441561379</v>
      </c>
      <c r="O65" s="1">
        <f t="shared" si="3"/>
        <v>13041.451567057326</v>
      </c>
      <c r="P65">
        <f t="shared" si="24"/>
        <v>114.19917498413605</v>
      </c>
      <c r="Q65" s="1">
        <f t="shared" si="25"/>
        <v>29.077673055075202</v>
      </c>
      <c r="R65" s="1">
        <f>+Q65*1000/'Material Properties'!AE$35</f>
        <v>24936.617324498875</v>
      </c>
      <c r="S65" s="1">
        <f t="shared" si="26"/>
        <v>138.53676291388263</v>
      </c>
      <c r="T65" s="1">
        <f t="shared" si="27"/>
        <v>7.899768141764071</v>
      </c>
      <c r="U65">
        <f t="shared" si="4"/>
        <v>0.0009747870468642149</v>
      </c>
      <c r="V65">
        <f>+'Material Properties'!AE$31+'Material Properties'!AE$33</f>
        <v>0.00029034311030761144</v>
      </c>
      <c r="W65">
        <f t="shared" si="61"/>
        <v>0.0012651301571718265</v>
      </c>
      <c r="X65" s="1">
        <f>+'Volcano Summary'!E$12*10^9/Q65/3600/24/365</f>
        <v>0</v>
      </c>
      <c r="Y65" s="3">
        <f t="shared" si="52"/>
        <v>2</v>
      </c>
      <c r="Z65" s="1">
        <f>+Y65*'Volcano Summary'!B$19*'Volcano Summary'!B$20/1000</f>
        <v>81000</v>
      </c>
      <c r="AA65" s="1">
        <f t="shared" si="7"/>
        <v>2785642.435919139</v>
      </c>
      <c r="AB65" s="3">
        <f t="shared" si="32"/>
        <v>773.7895655330942</v>
      </c>
      <c r="AC65" s="1">
        <f t="shared" si="56"/>
        <v>190272006.29021198</v>
      </c>
      <c r="AD65" s="36">
        <f t="shared" si="57"/>
        <v>52853.33508061446</v>
      </c>
      <c r="AE65" s="36">
        <f t="shared" si="28"/>
        <v>2202.2222950256023</v>
      </c>
      <c r="AG65" s="1">
        <f t="shared" si="11"/>
        <v>81000000</v>
      </c>
      <c r="AH65" s="1">
        <f t="shared" si="62"/>
        <v>81000</v>
      </c>
      <c r="AI65" s="1">
        <f t="shared" si="63"/>
        <v>81081000</v>
      </c>
      <c r="AJ65" s="1">
        <f t="shared" si="58"/>
        <v>2813137438.240334</v>
      </c>
      <c r="AK65" s="1">
        <f t="shared" si="59"/>
        <v>2815950575.6785746</v>
      </c>
      <c r="AL65" s="39">
        <f>+AJ65/('Volcano Summary'!C$8)*10^6</f>
        <v>195.29609724363377</v>
      </c>
      <c r="AM65" s="1">
        <f t="shared" si="16"/>
        <v>2202.2222950256023</v>
      </c>
    </row>
    <row r="66" spans="1:39" ht="12.75" hidden="1">
      <c r="A66" s="1">
        <f t="shared" si="55"/>
        <v>3696223.0808234666</v>
      </c>
      <c r="B66" s="1">
        <f t="shared" si="60"/>
        <v>2244.551409836017</v>
      </c>
      <c r="C66" s="1">
        <v>182</v>
      </c>
      <c r="D66" s="12">
        <f t="shared" si="19"/>
        <v>15.222667215103916</v>
      </c>
      <c r="E66" s="38">
        <f t="shared" si="0"/>
        <v>160717526.87252763</v>
      </c>
      <c r="F66" s="38">
        <f t="shared" si="1"/>
        <v>103333017.83296086</v>
      </c>
      <c r="G66" s="38">
        <f t="shared" si="2"/>
        <v>45948508.79339408</v>
      </c>
      <c r="H66" s="18">
        <f t="shared" si="20"/>
        <v>0.03284575514492628</v>
      </c>
      <c r="I66" s="50">
        <f t="shared" si="54"/>
        <v>0.05886854150099618</v>
      </c>
      <c r="J66" s="3">
        <f t="shared" si="21"/>
        <v>194.85816998806513</v>
      </c>
      <c r="K66" s="12">
        <f t="shared" si="31"/>
        <v>0.9939816884914467</v>
      </c>
      <c r="L66" s="3">
        <f t="shared" si="22"/>
        <v>1570.5699333116042</v>
      </c>
      <c r="M66" s="12">
        <v>0.718</v>
      </c>
      <c r="N66" s="37">
        <f t="shared" si="23"/>
        <v>257.45158242453937</v>
      </c>
      <c r="O66" s="1">
        <f t="shared" si="3"/>
        <v>13121.114390399889</v>
      </c>
      <c r="P66">
        <f t="shared" si="24"/>
        <v>114.54743292802283</v>
      </c>
      <c r="Q66" s="1">
        <f t="shared" si="25"/>
        <v>29.490417869988264</v>
      </c>
      <c r="R66" s="1">
        <f>+Q66*1000/'Material Properties'!AE$35</f>
        <v>25290.58166967407</v>
      </c>
      <c r="S66" s="1">
        <f t="shared" si="26"/>
        <v>138.95923994326412</v>
      </c>
      <c r="T66" s="1">
        <f t="shared" si="27"/>
        <v>9.452179104637025</v>
      </c>
      <c r="U66">
        <f t="shared" si="4"/>
        <v>0.0008286081522833894</v>
      </c>
      <c r="V66">
        <f>+'Material Properties'!AE$31+'Material Properties'!AE$33</f>
        <v>0.00029034311030761144</v>
      </c>
      <c r="W66">
        <f t="shared" si="61"/>
        <v>0.001118951262591001</v>
      </c>
      <c r="X66" s="1">
        <f>+'Volcano Summary'!E$12*10^9/Q66/3600/24/365</f>
        <v>0</v>
      </c>
      <c r="Y66" s="3">
        <f t="shared" si="52"/>
        <v>2</v>
      </c>
      <c r="Z66" s="1">
        <f>+Y66*'Volcano Summary'!B$19*'Volcano Summary'!B$20/1000</f>
        <v>81000</v>
      </c>
      <c r="AA66" s="1">
        <f t="shared" si="7"/>
        <v>2746654.874715488</v>
      </c>
      <c r="AB66" s="3">
        <f t="shared" si="32"/>
        <v>762.9596874209689</v>
      </c>
      <c r="AC66" s="1">
        <f t="shared" si="56"/>
        <v>193929241.8098318</v>
      </c>
      <c r="AD66" s="36">
        <f t="shared" si="57"/>
        <v>53869.233836064406</v>
      </c>
      <c r="AE66" s="36">
        <f t="shared" si="28"/>
        <v>2244.551409836017</v>
      </c>
      <c r="AG66" s="1">
        <f t="shared" si="11"/>
        <v>81000000</v>
      </c>
      <c r="AH66" s="1">
        <f t="shared" si="62"/>
        <v>81000</v>
      </c>
      <c r="AI66" s="1">
        <f t="shared" si="63"/>
        <v>81081000</v>
      </c>
      <c r="AJ66" s="1">
        <f t="shared" si="58"/>
        <v>2894137438.240334</v>
      </c>
      <c r="AK66" s="1">
        <f t="shared" si="59"/>
        <v>2897031575.6785746</v>
      </c>
      <c r="AL66" s="39">
        <f>+AJ66/('Volcano Summary'!C$8)*10^6</f>
        <v>200.91935036369085</v>
      </c>
      <c r="AM66" s="1">
        <f t="shared" si="16"/>
        <v>2244.551409836017</v>
      </c>
    </row>
    <row r="67" spans="1:39" ht="12.75" hidden="1">
      <c r="A67" s="1">
        <f t="shared" si="55"/>
        <v>3632870.2261794917</v>
      </c>
      <c r="B67" s="1">
        <f t="shared" si="60"/>
        <v>2286.1583645262344</v>
      </c>
      <c r="C67" s="1">
        <v>184</v>
      </c>
      <c r="D67" s="12">
        <f t="shared" si="19"/>
        <v>15.306079714651624</v>
      </c>
      <c r="E67" s="38">
        <f t="shared" si="0"/>
        <v>161598177.44762936</v>
      </c>
      <c r="F67" s="38">
        <f t="shared" si="1"/>
        <v>103899230.3883206</v>
      </c>
      <c r="G67" s="38">
        <f t="shared" si="2"/>
        <v>46200283.329011865</v>
      </c>
      <c r="H67" s="18">
        <f t="shared" si="20"/>
        <v>0.03266675787147371</v>
      </c>
      <c r="I67" s="50">
        <f t="shared" si="54"/>
        <v>0.05877451873977582</v>
      </c>
      <c r="J67" s="3">
        <f t="shared" si="21"/>
        <v>193.49729726846508</v>
      </c>
      <c r="K67" s="12">
        <f t="shared" si="31"/>
        <v>0.9930063963757334</v>
      </c>
      <c r="L67" s="3">
        <f t="shared" si="22"/>
        <v>1569.028894386169</v>
      </c>
      <c r="M67" s="12">
        <v>0.718</v>
      </c>
      <c r="N67" s="37">
        <f t="shared" si="23"/>
        <v>260.2807206929409</v>
      </c>
      <c r="O67" s="1">
        <f t="shared" si="3"/>
        <v>13200.430662570101</v>
      </c>
      <c r="P67">
        <f t="shared" si="24"/>
        <v>114.89312713374156</v>
      </c>
      <c r="Q67" s="1">
        <f t="shared" si="25"/>
        <v>29.90446593303594</v>
      </c>
      <c r="R67" s="1">
        <f>+Q67*1000/'Material Properties'!AE$35</f>
        <v>25645.663662741863</v>
      </c>
      <c r="S67" s="1">
        <f t="shared" si="26"/>
        <v>139.3786068627275</v>
      </c>
      <c r="T67" s="1">
        <f t="shared" si="27"/>
        <v>10.973166162358211</v>
      </c>
      <c r="U67">
        <f t="shared" si="4"/>
        <v>0.0007224610422108574</v>
      </c>
      <c r="V67">
        <f>+'Material Properties'!AE$31+'Material Properties'!AE$33</f>
        <v>0.00029034311030761144</v>
      </c>
      <c r="W67">
        <f t="shared" si="61"/>
        <v>0.0010128041525184687</v>
      </c>
      <c r="X67" s="1">
        <f>+'Volcano Summary'!E$12*10^9/Q67/3600/24/365</f>
        <v>0</v>
      </c>
      <c r="Y67" s="3">
        <f t="shared" si="52"/>
        <v>2</v>
      </c>
      <c r="Z67" s="1">
        <f>+Y67*'Volcano Summary'!B$19*'Volcano Summary'!B$20/1000</f>
        <v>81000</v>
      </c>
      <c r="AA67" s="1">
        <f t="shared" si="7"/>
        <v>2708625.533770794</v>
      </c>
      <c r="AB67" s="3">
        <f t="shared" si="32"/>
        <v>752.3959816029983</v>
      </c>
      <c r="AC67" s="1">
        <f t="shared" si="56"/>
        <v>197524082.6950666</v>
      </c>
      <c r="AD67" s="36">
        <f t="shared" si="57"/>
        <v>54867.80074862963</v>
      </c>
      <c r="AE67" s="36">
        <f t="shared" si="28"/>
        <v>2286.1583645262344</v>
      </c>
      <c r="AG67" s="1">
        <f t="shared" si="11"/>
        <v>81000000</v>
      </c>
      <c r="AH67" s="1">
        <f t="shared" si="62"/>
        <v>81000</v>
      </c>
      <c r="AI67" s="1">
        <f t="shared" si="63"/>
        <v>81081000</v>
      </c>
      <c r="AJ67" s="1">
        <f t="shared" si="58"/>
        <v>2975137438.240334</v>
      </c>
      <c r="AK67" s="1">
        <f t="shared" si="59"/>
        <v>2978112575.6785746</v>
      </c>
      <c r="AL67" s="39">
        <f>+AJ67/('Volcano Summary'!C$8)*10^6</f>
        <v>206.54260348374794</v>
      </c>
      <c r="AM67" s="1">
        <f t="shared" si="16"/>
        <v>2286.1583645262344</v>
      </c>
    </row>
    <row r="68" spans="1:39" ht="12.75" hidden="1">
      <c r="A68" s="1">
        <f t="shared" si="55"/>
        <v>3571420.3875781507</v>
      </c>
      <c r="B68" s="1">
        <f t="shared" si="60"/>
        <v>2327.064797239539</v>
      </c>
      <c r="C68" s="1">
        <v>186</v>
      </c>
      <c r="D68" s="12">
        <f t="shared" si="19"/>
        <v>15.389040103942165</v>
      </c>
      <c r="E68" s="38">
        <f t="shared" si="0"/>
        <v>162474054.7434247</v>
      </c>
      <c r="F68" s="38">
        <f t="shared" si="1"/>
        <v>104462373.97313753</v>
      </c>
      <c r="G68" s="38">
        <f t="shared" si="2"/>
        <v>46450693.20285038</v>
      </c>
      <c r="H68" s="18">
        <f t="shared" si="20"/>
        <v>0.03249065546797272</v>
      </c>
      <c r="I68" s="50">
        <f t="shared" si="54"/>
        <v>0.0586818074814134</v>
      </c>
      <c r="J68" s="3">
        <f t="shared" si="21"/>
        <v>192.16103891165068</v>
      </c>
      <c r="K68" s="12">
        <f t="shared" si="31"/>
        <v>0.9920487445533498</v>
      </c>
      <c r="L68" s="3">
        <f t="shared" si="22"/>
        <v>1567.5157285238286</v>
      </c>
      <c r="M68" s="12">
        <v>0.718</v>
      </c>
      <c r="N68" s="37">
        <f t="shared" si="23"/>
        <v>263.10985896134247</v>
      </c>
      <c r="O68" s="1">
        <f t="shared" si="3"/>
        <v>13279.405456601202</v>
      </c>
      <c r="P68">
        <f t="shared" si="24"/>
        <v>115.23630268540032</v>
      </c>
      <c r="Q68" s="1">
        <f t="shared" si="25"/>
        <v>30.319807346782248</v>
      </c>
      <c r="R68" s="1">
        <f>+Q68*1000/'Material Properties'!AE$35</f>
        <v>26001.854815795643</v>
      </c>
      <c r="S68" s="1">
        <f t="shared" si="26"/>
        <v>139.7949183644927</v>
      </c>
      <c r="T68" s="1">
        <f t="shared" si="27"/>
        <v>12.463717974134852</v>
      </c>
      <c r="U68">
        <f t="shared" si="4"/>
        <v>0.0006418797535687534</v>
      </c>
      <c r="V68">
        <f>+'Material Properties'!AE$31+'Material Properties'!AE$33</f>
        <v>0.00029034311030761144</v>
      </c>
      <c r="W68">
        <f t="shared" si="61"/>
        <v>0.0009322228638763649</v>
      </c>
      <c r="X68" s="1">
        <f>+'Volcano Summary'!E$12*10^9/Q68/3600/24/365</f>
        <v>0</v>
      </c>
      <c r="Y68" s="3">
        <f t="shared" si="52"/>
        <v>2</v>
      </c>
      <c r="Z68" s="1">
        <f>+Y68*'Volcano Summary'!B$19*'Volcano Summary'!B$20/1000</f>
        <v>81000</v>
      </c>
      <c r="AA68" s="1">
        <f t="shared" si="7"/>
        <v>2671520.932622162</v>
      </c>
      <c r="AB68" s="3">
        <f t="shared" si="32"/>
        <v>742.0891479506006</v>
      </c>
      <c r="AC68" s="1">
        <f t="shared" si="56"/>
        <v>201058398.48149613</v>
      </c>
      <c r="AD68" s="36">
        <f t="shared" si="57"/>
        <v>55849.55513374894</v>
      </c>
      <c r="AE68" s="36">
        <f t="shared" si="28"/>
        <v>2327.064797239539</v>
      </c>
      <c r="AG68" s="1">
        <f t="shared" si="11"/>
        <v>81000000</v>
      </c>
      <c r="AH68" s="1">
        <f t="shared" si="62"/>
        <v>81000</v>
      </c>
      <c r="AI68" s="1">
        <f t="shared" si="63"/>
        <v>81081000</v>
      </c>
      <c r="AJ68" s="1">
        <f t="shared" si="58"/>
        <v>3056137438.240334</v>
      </c>
      <c r="AK68" s="1">
        <f t="shared" si="59"/>
        <v>3059193575.6785746</v>
      </c>
      <c r="AL68" s="39">
        <f>+AJ68/('Volcano Summary'!C$8)*10^6</f>
        <v>212.165856603805</v>
      </c>
      <c r="AM68" s="1">
        <f t="shared" si="16"/>
        <v>2327.064797239539</v>
      </c>
    </row>
    <row r="69" spans="1:39" ht="12.75" hidden="1">
      <c r="A69" s="1">
        <f t="shared" si="55"/>
        <v>3511792.460520786</v>
      </c>
      <c r="B69" s="1">
        <f t="shared" si="60"/>
        <v>2367.2914248842135</v>
      </c>
      <c r="C69" s="1">
        <v>188</v>
      </c>
      <c r="D69" s="12">
        <f t="shared" si="19"/>
        <v>15.471555655790098</v>
      </c>
      <c r="E69" s="38">
        <f t="shared" si="0"/>
        <v>163345235.5446685</v>
      </c>
      <c r="F69" s="38">
        <f t="shared" si="1"/>
        <v>105022497.95601875</v>
      </c>
      <c r="G69" s="38">
        <f t="shared" si="2"/>
        <v>46699760.36736901</v>
      </c>
      <c r="H69" s="18">
        <f t="shared" si="20"/>
        <v>0.032317370736592944</v>
      </c>
      <c r="I69" s="50">
        <f t="shared" si="54"/>
        <v>0.0585903751687475</v>
      </c>
      <c r="J69" s="3">
        <f t="shared" si="21"/>
        <v>190.84868759244827</v>
      </c>
      <c r="K69" s="12">
        <f t="shared" si="31"/>
        <v>0.9911082261079214</v>
      </c>
      <c r="L69" s="3">
        <f t="shared" si="22"/>
        <v>1566.0296347564909</v>
      </c>
      <c r="M69" s="12">
        <v>0.718</v>
      </c>
      <c r="N69" s="37">
        <f t="shared" si="23"/>
        <v>265.93899722974396</v>
      </c>
      <c r="O69" s="1">
        <f t="shared" si="3"/>
        <v>13358.043718381876</v>
      </c>
      <c r="P69">
        <f t="shared" si="24"/>
        <v>115.57700341496087</v>
      </c>
      <c r="Q69" s="1">
        <f t="shared" si="25"/>
        <v>30.73643239099339</v>
      </c>
      <c r="R69" s="1">
        <f>+Q69*1000/'Material Properties'!AE$35</f>
        <v>26359.14679289497</v>
      </c>
      <c r="S69" s="1">
        <f t="shared" si="26"/>
        <v>140.20822762178176</v>
      </c>
      <c r="T69" s="1">
        <f t="shared" si="27"/>
        <v>13.924781420549152</v>
      </c>
      <c r="U69">
        <f t="shared" si="4"/>
        <v>0.0005786189864566819</v>
      </c>
      <c r="V69">
        <f>+'Material Properties'!AE$31+'Material Properties'!AE$33</f>
        <v>0.00029034311030761144</v>
      </c>
      <c r="W69">
        <f t="shared" si="61"/>
        <v>0.0008689620967642933</v>
      </c>
      <c r="X69" s="1">
        <f>+'Volcano Summary'!E$12*10^9/Q69/3600/24/365</f>
        <v>0</v>
      </c>
      <c r="Y69" s="3">
        <f t="shared" si="52"/>
        <v>2</v>
      </c>
      <c r="Z69" s="1">
        <f>+Y69*'Volcano Summary'!B$19*'Volcano Summary'!B$20/1000</f>
        <v>81000</v>
      </c>
      <c r="AA69" s="1">
        <f t="shared" si="7"/>
        <v>2635309.1006012526</v>
      </c>
      <c r="AB69" s="3">
        <f t="shared" si="32"/>
        <v>732.0303057225701</v>
      </c>
      <c r="AC69" s="1">
        <f t="shared" si="56"/>
        <v>204533979.109996</v>
      </c>
      <c r="AD69" s="36">
        <f t="shared" si="57"/>
        <v>56814.99419722112</v>
      </c>
      <c r="AE69" s="36">
        <f t="shared" si="28"/>
        <v>2367.2914248842135</v>
      </c>
      <c r="AG69" s="1">
        <f t="shared" si="11"/>
        <v>81000000</v>
      </c>
      <c r="AH69" s="1">
        <f t="shared" si="62"/>
        <v>81000</v>
      </c>
      <c r="AI69" s="1">
        <f t="shared" si="63"/>
        <v>81081000</v>
      </c>
      <c r="AJ69" s="1">
        <f t="shared" si="58"/>
        <v>3137137438.240334</v>
      </c>
      <c r="AK69" s="1">
        <f t="shared" si="59"/>
        <v>3140274575.6785746</v>
      </c>
      <c r="AL69" s="39">
        <f>+AJ69/('Volcano Summary'!C$8)*10^6</f>
        <v>217.7891097238621</v>
      </c>
      <c r="AM69" s="1">
        <f t="shared" si="16"/>
        <v>2367.2914248842135</v>
      </c>
    </row>
    <row r="70" spans="1:39" ht="12.75" hidden="1">
      <c r="A70" s="1">
        <f aca="true" t="shared" si="64" ref="A70:A87">+AA53</f>
        <v>3397699.886125491</v>
      </c>
      <c r="B70" s="1">
        <f t="shared" si="60"/>
        <v>2446.1833238647714</v>
      </c>
      <c r="C70" s="1">
        <v>190</v>
      </c>
      <c r="D70" s="12">
        <f t="shared" si="19"/>
        <v>15.553633450087505</v>
      </c>
      <c r="E70" s="38">
        <f t="shared" si="0"/>
        <v>164211794.599283</v>
      </c>
      <c r="F70" s="38">
        <f t="shared" si="1"/>
        <v>105579650.39599383</v>
      </c>
      <c r="G70" s="38">
        <f t="shared" si="2"/>
        <v>46947506.19270471</v>
      </c>
      <c r="H70" s="18">
        <f t="shared" si="20"/>
        <v>0.03214682933119958</v>
      </c>
      <c r="I70" s="50">
        <f t="shared" si="54"/>
        <v>0.0585001903955666</v>
      </c>
      <c r="J70" s="3">
        <f t="shared" si="21"/>
        <v>189.55956364889605</v>
      </c>
      <c r="K70" s="12">
        <f t="shared" si="31"/>
        <v>0.9901843539483756</v>
      </c>
      <c r="L70" s="3">
        <f t="shared" si="22"/>
        <v>1564.5698434416142</v>
      </c>
      <c r="M70" s="12">
        <v>0.718</v>
      </c>
      <c r="N70" s="37">
        <f t="shared" si="23"/>
        <v>268.76813549814557</v>
      </c>
      <c r="O70" s="1">
        <f t="shared" si="3"/>
        <v>13436.350271145538</v>
      </c>
      <c r="P70">
        <f t="shared" si="24"/>
        <v>115.91527194958195</v>
      </c>
      <c r="Q70" s="1">
        <f t="shared" si="25"/>
        <v>31.154331517649634</v>
      </c>
      <c r="R70" s="1">
        <f>+Q70*1000/'Material Properties'!AE$35</f>
        <v>26717.531405787857</v>
      </c>
      <c r="S70" s="1">
        <f t="shared" si="26"/>
        <v>140.61858634625187</v>
      </c>
      <c r="T70" s="1">
        <f t="shared" si="27"/>
        <v>15.357263806268293</v>
      </c>
      <c r="U70">
        <f t="shared" si="4"/>
        <v>0.0005276349145969219</v>
      </c>
      <c r="V70">
        <f>+'Material Properties'!AE$31+'Material Properties'!AE$33</f>
        <v>0.00029034311030761144</v>
      </c>
      <c r="W70">
        <f t="shared" si="61"/>
        <v>0.0008179780249045333</v>
      </c>
      <c r="X70" s="1">
        <f>+'Volcano Summary'!E$12*10^9/Q70/3600/24/365</f>
        <v>0</v>
      </c>
      <c r="Y70" s="3">
        <f t="shared" si="52"/>
        <v>2</v>
      </c>
      <c r="Z70" s="1">
        <f>+Y70*'Volcano Summary'!B$19*'Volcano Summary'!B$20/1000</f>
        <v>81000</v>
      </c>
      <c r="AA70" s="1">
        <f t="shared" si="7"/>
        <v>2599959.49372599</v>
      </c>
      <c r="AB70" s="3">
        <f t="shared" si="32"/>
        <v>722.2109704794417</v>
      </c>
      <c r="AC70" s="1">
        <f aca="true" t="shared" si="65" ref="AC70:AC87">+AC53+AA70</f>
        <v>211350239.18191618</v>
      </c>
      <c r="AD70" s="36">
        <f aca="true" t="shared" si="66" ref="AD70:AD87">+AD53+AB70</f>
        <v>58708.399772754514</v>
      </c>
      <c r="AE70" s="36">
        <f t="shared" si="28"/>
        <v>2446.1833238647714</v>
      </c>
      <c r="AG70" s="1">
        <f t="shared" si="11"/>
        <v>81000000</v>
      </c>
      <c r="AH70" s="1">
        <f t="shared" si="62"/>
        <v>81000</v>
      </c>
      <c r="AI70" s="1">
        <f t="shared" si="63"/>
        <v>81081000</v>
      </c>
      <c r="AJ70" s="1">
        <f aca="true" t="shared" si="67" ref="AJ70:AJ87">+AJ53+AG70</f>
        <v>3299137438.240334</v>
      </c>
      <c r="AK70" s="1">
        <f aca="true" t="shared" si="68" ref="AK70:AK87">+AK53+AI70</f>
        <v>3302436575.6785746</v>
      </c>
      <c r="AL70" s="39">
        <f>+AJ70/('Volcano Summary'!C$8)*10^6</f>
        <v>229.03561596397626</v>
      </c>
      <c r="AM70" s="1">
        <f t="shared" si="16"/>
        <v>2446.1833238647714</v>
      </c>
    </row>
    <row r="71" spans="1:39" ht="12.75" hidden="1">
      <c r="A71" s="1">
        <f t="shared" si="64"/>
        <v>3343094.123089773</v>
      </c>
      <c r="B71" s="1">
        <f t="shared" si="60"/>
        <v>2484.477045465945</v>
      </c>
      <c r="C71" s="1">
        <v>192</v>
      </c>
      <c r="D71" s="12">
        <f t="shared" si="19"/>
        <v>15.635280380893438</v>
      </c>
      <c r="E71" s="38">
        <f t="shared" si="0"/>
        <v>165073804.69320673</v>
      </c>
      <c r="F71" s="38">
        <f t="shared" si="1"/>
        <v>106133878.0906389</v>
      </c>
      <c r="G71" s="38">
        <f t="shared" si="2"/>
        <v>47193951.48807107</v>
      </c>
      <c r="H71" s="18">
        <f t="shared" si="20"/>
        <v>0.031978959623327766</v>
      </c>
      <c r="I71" s="50">
        <f t="shared" si="54"/>
        <v>0.058411222854118</v>
      </c>
      <c r="J71" s="3">
        <f t="shared" si="21"/>
        <v>188.29301372010394</v>
      </c>
      <c r="K71" s="12">
        <f t="shared" si="31"/>
        <v>0.9892766598327413</v>
      </c>
      <c r="L71" s="3">
        <f t="shared" si="22"/>
        <v>1563.1356147197323</v>
      </c>
      <c r="M71" s="12">
        <v>0.718</v>
      </c>
      <c r="N71" s="37">
        <f t="shared" si="23"/>
        <v>271.597273766547</v>
      </c>
      <c r="O71" s="1">
        <f t="shared" si="3"/>
        <v>13514.329819755902</v>
      </c>
      <c r="P71">
        <f t="shared" si="24"/>
        <v>116.2511497567052</v>
      </c>
      <c r="Q71" s="1">
        <f t="shared" si="25"/>
        <v>31.573495346147716</v>
      </c>
      <c r="R71" s="1">
        <f>+Q71*1000/'Material Properties'!AE$35</f>
        <v>27077.000609796403</v>
      </c>
      <c r="S71" s="1">
        <f t="shared" si="26"/>
        <v>141.0260448426896</v>
      </c>
      <c r="T71" s="1">
        <f t="shared" si="27"/>
        <v>16.76203492419677</v>
      </c>
      <c r="U71">
        <f t="shared" si="4"/>
        <v>0.00048566883922578953</v>
      </c>
      <c r="V71">
        <f>+'Material Properties'!AE$31+'Material Properties'!AE$33</f>
        <v>0.00029034311030761144</v>
      </c>
      <c r="W71">
        <f t="shared" si="61"/>
        <v>0.000776011949533401</v>
      </c>
      <c r="X71" s="1">
        <f>+'Volcano Summary'!E$12*10^9/Q71/3600/24/365</f>
        <v>0</v>
      </c>
      <c r="Y71" s="3">
        <f t="shared" si="52"/>
        <v>2</v>
      </c>
      <c r="Z71" s="1">
        <f>+Y71*'Volcano Summary'!B$19*'Volcano Summary'!B$20/1000</f>
        <v>81000</v>
      </c>
      <c r="AA71" s="1">
        <f t="shared" si="7"/>
        <v>2565442.916977604</v>
      </c>
      <c r="AB71" s="3">
        <f t="shared" si="32"/>
        <v>712.6230324937789</v>
      </c>
      <c r="AC71" s="1">
        <f t="shared" si="65"/>
        <v>214658816.72825757</v>
      </c>
      <c r="AD71" s="36">
        <f t="shared" si="66"/>
        <v>59627.44909118268</v>
      </c>
      <c r="AE71" s="36">
        <f t="shared" si="28"/>
        <v>2484.477045465945</v>
      </c>
      <c r="AG71" s="1">
        <f t="shared" si="11"/>
        <v>81000000</v>
      </c>
      <c r="AH71" s="1">
        <f t="shared" si="62"/>
        <v>81000</v>
      </c>
      <c r="AI71" s="1">
        <f t="shared" si="63"/>
        <v>81081000</v>
      </c>
      <c r="AJ71" s="1">
        <f t="shared" si="67"/>
        <v>3380137438.240334</v>
      </c>
      <c r="AK71" s="1">
        <f t="shared" si="68"/>
        <v>3383517575.6785746</v>
      </c>
      <c r="AL71" s="39">
        <f>+AJ71/('Volcano Summary'!C$8)*10^6</f>
        <v>234.65886908403334</v>
      </c>
      <c r="AM71" s="1">
        <f t="shared" si="16"/>
        <v>2484.477045465945</v>
      </c>
    </row>
    <row r="72" spans="1:39" ht="12.75" hidden="1">
      <c r="A72" s="1">
        <f t="shared" si="64"/>
        <v>3236864.2878601127</v>
      </c>
      <c r="B72" s="1">
        <f t="shared" si="60"/>
        <v>2521.5505735035035</v>
      </c>
      <c r="C72" s="1">
        <v>194</v>
      </c>
      <c r="D72" s="12">
        <f t="shared" si="19"/>
        <v>15.716503163191918</v>
      </c>
      <c r="E72" s="38">
        <f t="shared" si="0"/>
        <v>165931336.72174412</v>
      </c>
      <c r="F72" s="38">
        <f t="shared" si="1"/>
        <v>106685226.62195042</v>
      </c>
      <c r="G72" s="38">
        <f t="shared" si="2"/>
        <v>47439116.52215673</v>
      </c>
      <c r="H72" s="18">
        <f t="shared" si="20"/>
        <v>0.03181369257577608</v>
      </c>
      <c r="I72" s="50">
        <f t="shared" si="54"/>
        <v>0.0583234432855362</v>
      </c>
      <c r="J72" s="3">
        <f t="shared" si="21"/>
        <v>187.04840946467604</v>
      </c>
      <c r="K72" s="12">
        <f t="shared" si="31"/>
        <v>0.9883846934496846</v>
      </c>
      <c r="L72" s="3">
        <f t="shared" si="22"/>
        <v>1561.7262370632086</v>
      </c>
      <c r="M72" s="12">
        <v>0.718</v>
      </c>
      <c r="N72" s="37">
        <f t="shared" si="23"/>
        <v>274.42641203494856</v>
      </c>
      <c r="O72" s="1">
        <f t="shared" si="3"/>
        <v>13591.98695480028</v>
      </c>
      <c r="P72">
        <f t="shared" si="24"/>
        <v>116.58467718701408</v>
      </c>
      <c r="Q72" s="1">
        <f t="shared" si="25"/>
        <v>31.993914658684993</v>
      </c>
      <c r="R72" s="1">
        <f>+Q72*1000/'Material Properties'!AE$35</f>
        <v>27437.5464998583</v>
      </c>
      <c r="S72" s="1">
        <f t="shared" si="26"/>
        <v>141.43065206112527</v>
      </c>
      <c r="T72" s="1">
        <f t="shared" si="27"/>
        <v>18.13992899115965</v>
      </c>
      <c r="U72">
        <f t="shared" si="4"/>
        <v>0.0004505216381837752</v>
      </c>
      <c r="V72">
        <f>+'Material Properties'!AE$31+'Material Properties'!AE$33</f>
        <v>0.00029034311030761144</v>
      </c>
      <c r="W72">
        <f t="shared" si="61"/>
        <v>0.0007408647484913866</v>
      </c>
      <c r="X72" s="1">
        <f>+'Volcano Summary'!E$12*10^9/Q72/3600/24/365</f>
        <v>0</v>
      </c>
      <c r="Y72" s="3">
        <f t="shared" si="52"/>
        <v>2</v>
      </c>
      <c r="Z72" s="1">
        <f>+Y72*'Volcano Summary'!B$19*'Volcano Summary'!B$20/1000</f>
        <v>81000</v>
      </c>
      <c r="AA72" s="1">
        <f t="shared" si="7"/>
        <v>2531731.4515625215</v>
      </c>
      <c r="AB72" s="3">
        <f t="shared" si="32"/>
        <v>703.2587365451449</v>
      </c>
      <c r="AC72" s="1">
        <f t="shared" si="65"/>
        <v>217861969.5507026</v>
      </c>
      <c r="AD72" s="36">
        <f t="shared" si="66"/>
        <v>60517.21376408408</v>
      </c>
      <c r="AE72" s="36">
        <f t="shared" si="28"/>
        <v>2521.5505735035035</v>
      </c>
      <c r="AG72" s="1">
        <f t="shared" si="11"/>
        <v>80999999.99999999</v>
      </c>
      <c r="AH72" s="1">
        <f t="shared" si="62"/>
        <v>81000</v>
      </c>
      <c r="AI72" s="1">
        <f t="shared" si="63"/>
        <v>81080999.99999999</v>
      </c>
      <c r="AJ72" s="1">
        <f t="shared" si="67"/>
        <v>3461137438.240334</v>
      </c>
      <c r="AK72" s="1">
        <f t="shared" si="68"/>
        <v>3464598575.6785746</v>
      </c>
      <c r="AL72" s="39">
        <f>+AJ72/('Volcano Summary'!C$8)*10^6</f>
        <v>240.2821222040904</v>
      </c>
      <c r="AM72" s="1">
        <f t="shared" si="16"/>
        <v>2521.5505735035035</v>
      </c>
    </row>
    <row r="73" spans="1:39" ht="12.75" hidden="1">
      <c r="A73" s="1">
        <f t="shared" si="64"/>
        <v>3186048.256869908</v>
      </c>
      <c r="B73" s="1">
        <f t="shared" si="60"/>
        <v>2558.044962300953</v>
      </c>
      <c r="C73" s="1">
        <v>196</v>
      </c>
      <c r="D73" s="12">
        <f t="shared" si="19"/>
        <v>15.797308339337176</v>
      </c>
      <c r="E73" s="38">
        <f t="shared" si="0"/>
        <v>166784459.7576126</v>
      </c>
      <c r="F73" s="38">
        <f t="shared" si="1"/>
        <v>107233740.40009627</v>
      </c>
      <c r="G73" s="38">
        <f t="shared" si="2"/>
        <v>47683021.04257996</v>
      </c>
      <c r="H73" s="18">
        <f t="shared" si="20"/>
        <v>0.03165096162331279</v>
      </c>
      <c r="I73" s="50">
        <f t="shared" si="54"/>
        <v>0.05823682343300006</v>
      </c>
      <c r="J73" s="3">
        <f t="shared" si="21"/>
        <v>185.82514635415276</v>
      </c>
      <c r="K73" s="12">
        <f t="shared" si="31"/>
        <v>0.9875080215538096</v>
      </c>
      <c r="L73" s="3">
        <f t="shared" si="22"/>
        <v>1560.3410259099426</v>
      </c>
      <c r="M73" s="12">
        <v>0.718</v>
      </c>
      <c r="N73" s="37">
        <f t="shared" si="23"/>
        <v>277.2555503033501</v>
      </c>
      <c r="O73" s="1">
        <f t="shared" si="3"/>
        <v>13669.326156500896</v>
      </c>
      <c r="P73">
        <f t="shared" si="24"/>
        <v>116.91589351538522</v>
      </c>
      <c r="Q73" s="1">
        <f t="shared" si="25"/>
        <v>32.41558039581601</v>
      </c>
      <c r="R73" s="1">
        <f>+Q73*1000/'Material Properties'!AE$35</f>
        <v>27799.16130671622</v>
      </c>
      <c r="S73" s="1">
        <f t="shared" si="26"/>
        <v>141.83245564651133</v>
      </c>
      <c r="T73" s="1">
        <f t="shared" si="27"/>
        <v>19.49174646437359</v>
      </c>
      <c r="U73">
        <f t="shared" si="4"/>
        <v>0.0004206554850506034</v>
      </c>
      <c r="V73">
        <f>+'Material Properties'!AE$31+'Material Properties'!AE$33</f>
        <v>0.00029034311030761144</v>
      </c>
      <c r="W73">
        <f t="shared" si="61"/>
        <v>0.0007109985953582148</v>
      </c>
      <c r="X73" s="1">
        <f>+'Volcano Summary'!E$12*10^9/Q73/3600/24/365</f>
        <v>0</v>
      </c>
      <c r="Y73" s="3">
        <f t="shared" si="52"/>
        <v>2</v>
      </c>
      <c r="Z73" s="1">
        <f>+Y73*'Volcano Summary'!B$19*'Volcano Summary'!B$20/1000</f>
        <v>81000</v>
      </c>
      <c r="AA73" s="1">
        <f t="shared" si="7"/>
        <v>2498798.3867922644</v>
      </c>
      <c r="AB73" s="3">
        <f t="shared" si="32"/>
        <v>694.1106629978513</v>
      </c>
      <c r="AC73" s="1">
        <f t="shared" si="65"/>
        <v>221015084.74280226</v>
      </c>
      <c r="AD73" s="36">
        <f t="shared" si="66"/>
        <v>61393.07909522287</v>
      </c>
      <c r="AE73" s="36">
        <f t="shared" si="28"/>
        <v>2558.044962300953</v>
      </c>
      <c r="AG73" s="1">
        <f t="shared" si="11"/>
        <v>80999999.99999999</v>
      </c>
      <c r="AH73" s="1">
        <f t="shared" si="62"/>
        <v>81000</v>
      </c>
      <c r="AI73" s="1">
        <f t="shared" si="63"/>
        <v>81080999.99999999</v>
      </c>
      <c r="AJ73" s="1">
        <f t="shared" si="67"/>
        <v>3542137438.240334</v>
      </c>
      <c r="AK73" s="1">
        <f t="shared" si="68"/>
        <v>3545679575.6785746</v>
      </c>
      <c r="AL73" s="39">
        <f>+AJ73/('Volcano Summary'!C$8)*10^6</f>
        <v>245.9053753241475</v>
      </c>
      <c r="AM73" s="1">
        <f t="shared" si="16"/>
        <v>2558.044962300953</v>
      </c>
    </row>
    <row r="74" spans="1:39" ht="12.75" hidden="1">
      <c r="A74" s="1">
        <f t="shared" si="64"/>
        <v>3136631.438860363</v>
      </c>
      <c r="B74" s="1">
        <f t="shared" si="60"/>
        <v>2593.976110545315</v>
      </c>
      <c r="C74" s="1">
        <v>198</v>
      </c>
      <c r="D74" s="12">
        <f t="shared" si="19"/>
        <v>15.877702285203682</v>
      </c>
      <c r="E74" s="38">
        <f t="shared" si="0"/>
        <v>167633241.11587343</v>
      </c>
      <c r="F74" s="38">
        <f t="shared" si="1"/>
        <v>107779462.7051627</v>
      </c>
      <c r="G74" s="38">
        <f t="shared" si="2"/>
        <v>47925684.294451974</v>
      </c>
      <c r="H74" s="18">
        <f t="shared" si="20"/>
        <v>0.03149070256002636</v>
      </c>
      <c r="I74" s="50">
        <f t="shared" si="54"/>
        <v>0.05815133599744165</v>
      </c>
      <c r="J74" s="3">
        <f t="shared" si="21"/>
        <v>184.62264253635888</v>
      </c>
      <c r="K74" s="12">
        <f t="shared" si="31"/>
        <v>0.9866462271510573</v>
      </c>
      <c r="L74" s="3">
        <f t="shared" si="22"/>
        <v>1558.9793223762356</v>
      </c>
      <c r="M74" s="12">
        <v>0.718</v>
      </c>
      <c r="N74" s="37">
        <f t="shared" si="23"/>
        <v>280.08468857175166</v>
      </c>
      <c r="O74" s="1">
        <f t="shared" si="3"/>
        <v>13746.351798454218</v>
      </c>
      <c r="P74">
        <f t="shared" si="24"/>
        <v>117.24483697994644</v>
      </c>
      <c r="Q74" s="1">
        <f t="shared" si="25"/>
        <v>32.8384836521741</v>
      </c>
      <c r="R74" s="1">
        <f>+Q74*1000/'Material Properties'!AE$35</f>
        <v>28161.83739324872</v>
      </c>
      <c r="S74" s="1">
        <f t="shared" si="26"/>
        <v>142.23150198610463</v>
      </c>
      <c r="T74" s="1">
        <f t="shared" si="27"/>
        <v>20.818255747210742</v>
      </c>
      <c r="U74">
        <f t="shared" si="4"/>
        <v>0.0003949626572153085</v>
      </c>
      <c r="V74">
        <f>+'Material Properties'!AE$31+'Material Properties'!AE$33</f>
        <v>0.00029034311030761144</v>
      </c>
      <c r="W74">
        <f t="shared" si="61"/>
        <v>0.00068530576752292</v>
      </c>
      <c r="X74" s="1">
        <f>+'Volcano Summary'!E$12*10^9/Q74/3600/24/365</f>
        <v>0</v>
      </c>
      <c r="Y74" s="3">
        <f t="shared" si="52"/>
        <v>2</v>
      </c>
      <c r="Z74" s="1">
        <f>+Y74*'Volcano Summary'!B$19*'Volcano Summary'!B$20/1000</f>
        <v>81000</v>
      </c>
      <c r="AA74" s="1">
        <f t="shared" si="7"/>
        <v>2466618.156244779</v>
      </c>
      <c r="AB74" s="3">
        <f t="shared" si="32"/>
        <v>685.1717100679941</v>
      </c>
      <c r="AC74" s="1">
        <f t="shared" si="65"/>
        <v>224119535.95111513</v>
      </c>
      <c r="AD74" s="36">
        <f t="shared" si="66"/>
        <v>62255.42665308756</v>
      </c>
      <c r="AE74" s="36">
        <f t="shared" si="28"/>
        <v>2593.976110545315</v>
      </c>
      <c r="AG74" s="1">
        <f t="shared" si="11"/>
        <v>80999999.99999999</v>
      </c>
      <c r="AH74" s="1">
        <f t="shared" si="62"/>
        <v>81000</v>
      </c>
      <c r="AI74" s="1">
        <f t="shared" si="63"/>
        <v>81080999.99999999</v>
      </c>
      <c r="AJ74" s="1">
        <f t="shared" si="67"/>
        <v>3623137438.240334</v>
      </c>
      <c r="AK74" s="1">
        <f t="shared" si="68"/>
        <v>3626760575.6785746</v>
      </c>
      <c r="AL74" s="39">
        <f>+AJ74/('Volcano Summary'!C$8)*10^6</f>
        <v>251.52862844420454</v>
      </c>
      <c r="AM74" s="1">
        <f t="shared" si="16"/>
        <v>2593.976110545315</v>
      </c>
    </row>
    <row r="75" spans="1:39" ht="12.75" hidden="1">
      <c r="A75" s="1">
        <f t="shared" si="64"/>
        <v>3088559.1259088293</v>
      </c>
      <c r="B75" s="1">
        <f t="shared" si="60"/>
        <v>1940.0295022757862</v>
      </c>
      <c r="C75" s="1">
        <v>200</v>
      </c>
      <c r="D75" s="12">
        <f t="shared" si="19"/>
        <v>15.957691216057308</v>
      </c>
      <c r="E75" s="38">
        <f t="shared" si="0"/>
        <v>168477746.41591817</v>
      </c>
      <c r="F75" s="38">
        <f t="shared" si="1"/>
        <v>108322435.72700845</v>
      </c>
      <c r="G75" s="38">
        <f t="shared" si="2"/>
        <v>48167125.038098745</v>
      </c>
      <c r="H75" s="18">
        <f t="shared" si="20"/>
        <v>0.031332853432887504</v>
      </c>
      <c r="I75" s="50">
        <f t="shared" si="54"/>
        <v>0.05806695459564362</v>
      </c>
      <c r="J75" s="3">
        <f t="shared" si="21"/>
        <v>183.44033776394352</v>
      </c>
      <c r="K75" s="12">
        <f t="shared" si="31"/>
        <v>0.9857989087308263</v>
      </c>
      <c r="L75" s="3">
        <f t="shared" si="22"/>
        <v>1557.64049204348</v>
      </c>
      <c r="M75" s="12">
        <v>0.718</v>
      </c>
      <c r="N75" s="37">
        <f t="shared" si="23"/>
        <v>282.9138268401532</v>
      </c>
      <c r="O75" s="1">
        <f t="shared" si="3"/>
        <v>13823.068151207459</v>
      </c>
      <c r="P75">
        <f t="shared" si="24"/>
        <v>117.57154481934589</v>
      </c>
      <c r="Q75" s="1">
        <f t="shared" si="25"/>
        <v>33.26261567234973</v>
      </c>
      <c r="R75" s="1">
        <f>+Q75*1000/'Material Properties'!AE$35</f>
        <v>28525.567250935543</v>
      </c>
      <c r="S75" s="1">
        <f t="shared" si="26"/>
        <v>142.6278362546777</v>
      </c>
      <c r="T75" s="1">
        <f t="shared" si="27"/>
        <v>22.12019479207015</v>
      </c>
      <c r="U75">
        <f t="shared" si="4"/>
        <v>0.0003726249963338651</v>
      </c>
      <c r="V75">
        <f>+'Material Properties'!AE$31+'Material Properties'!AE$33</f>
        <v>0.00029034311030761144</v>
      </c>
      <c r="W75">
        <f t="shared" si="61"/>
        <v>0.0006629681066414766</v>
      </c>
      <c r="X75" s="1">
        <f>+'Volcano Summary'!E$12*10^9/Q75/3600/24/365</f>
        <v>0</v>
      </c>
      <c r="Y75" s="3">
        <f t="shared" si="52"/>
        <v>4</v>
      </c>
      <c r="Z75" s="1">
        <f>+Y75*'Volcano Summary'!B$19*'Volcano Summary'!B$20/1000</f>
        <v>162000</v>
      </c>
      <c r="AA75" s="1">
        <f t="shared" si="7"/>
        <v>4870332.555796747</v>
      </c>
      <c r="AB75" s="3">
        <f t="shared" si="32"/>
        <v>1352.8701543879854</v>
      </c>
      <c r="AC75" s="1">
        <f t="shared" si="65"/>
        <v>167618548.99662784</v>
      </c>
      <c r="AD75" s="36">
        <f t="shared" si="66"/>
        <v>46560.708054618866</v>
      </c>
      <c r="AE75" s="36">
        <f t="shared" si="28"/>
        <v>1940.0295022757862</v>
      </c>
      <c r="AG75" s="1">
        <f t="shared" si="11"/>
        <v>162000000</v>
      </c>
      <c r="AH75" s="1">
        <f t="shared" si="62"/>
        <v>162000</v>
      </c>
      <c r="AI75" s="1">
        <f t="shared" si="63"/>
        <v>162162000</v>
      </c>
      <c r="AJ75" s="1">
        <f t="shared" si="67"/>
        <v>2408137438.240334</v>
      </c>
      <c r="AK75" s="1">
        <f t="shared" si="68"/>
        <v>2410545575.6785746</v>
      </c>
      <c r="AL75" s="39">
        <f>+AJ75/('Volcano Summary'!C$8)*10^6</f>
        <v>167.1798316433484</v>
      </c>
      <c r="AM75" s="1">
        <f t="shared" si="16"/>
        <v>1940.0295022757862</v>
      </c>
    </row>
    <row r="76" spans="1:39" ht="12.75" hidden="1">
      <c r="A76" s="1">
        <f t="shared" si="64"/>
        <v>3041779.3675978677</v>
      </c>
      <c r="B76" s="1">
        <f t="shared" si="60"/>
        <v>1986.7017935372887</v>
      </c>
      <c r="C76" s="1">
        <v>204</v>
      </c>
      <c r="D76" s="12">
        <f t="shared" si="19"/>
        <v>16.11647812414279</v>
      </c>
      <c r="E76" s="38">
        <f t="shared" si="0"/>
        <v>170154183.1931679</v>
      </c>
      <c r="F76" s="38">
        <f t="shared" si="1"/>
        <v>109400297.45603305</v>
      </c>
      <c r="G76" s="38">
        <f t="shared" si="2"/>
        <v>48646411.71889819</v>
      </c>
      <c r="H76" s="18">
        <f t="shared" si="20"/>
        <v>0.031024147841021824</v>
      </c>
      <c r="I76" s="50">
        <f t="shared" si="54"/>
        <v>0.057901408703813884</v>
      </c>
      <c r="J76" s="3">
        <f t="shared" si="21"/>
        <v>181.13418638305498</v>
      </c>
      <c r="K76" s="12">
        <f t="shared" si="31"/>
        <v>0.9841461669078562</v>
      </c>
      <c r="L76" s="3">
        <f t="shared" si="22"/>
        <v>1555.0290288296828</v>
      </c>
      <c r="M76" s="12">
        <v>0.718</v>
      </c>
      <c r="N76" s="37">
        <f t="shared" si="23"/>
        <v>288.5721033769562</v>
      </c>
      <c r="O76" s="1">
        <f t="shared" si="3"/>
        <v>13975.589576444136</v>
      </c>
      <c r="P76">
        <f t="shared" si="24"/>
        <v>118.21839779173179</v>
      </c>
      <c r="Q76" s="1">
        <f t="shared" si="25"/>
        <v>34.11453170861376</v>
      </c>
      <c r="R76" s="1">
        <f>+Q76*1000/'Material Properties'!AE$35</f>
        <v>29256.158868383143</v>
      </c>
      <c r="S76" s="1">
        <f t="shared" si="26"/>
        <v>143.41254347246638</v>
      </c>
      <c r="T76" s="1">
        <f t="shared" si="27"/>
        <v>24.65317067650426</v>
      </c>
      <c r="U76">
        <f t="shared" si="4"/>
        <v>0.0003356882834069294</v>
      </c>
      <c r="V76">
        <f>+'Material Properties'!AE$31+'Material Properties'!AE$33</f>
        <v>0.00029034311030761144</v>
      </c>
      <c r="W76">
        <f t="shared" si="61"/>
        <v>0.0006260313937145408</v>
      </c>
      <c r="X76" s="1">
        <f>+'Volcano Summary'!E$12*10^9/Q76/3600/24/365</f>
        <v>0</v>
      </c>
      <c r="Y76" s="3">
        <f t="shared" si="52"/>
        <v>4</v>
      </c>
      <c r="Z76" s="1">
        <f>+Y76*'Volcano Summary'!B$19*'Volcano Summary'!B$20/1000</f>
        <v>162000</v>
      </c>
      <c r="AA76" s="1">
        <f t="shared" si="7"/>
        <v>4748709.476175977</v>
      </c>
      <c r="AB76" s="3">
        <f t="shared" si="32"/>
        <v>1319.0859656044381</v>
      </c>
      <c r="AC76" s="1">
        <f t="shared" si="65"/>
        <v>171651034.96162167</v>
      </c>
      <c r="AD76" s="36">
        <f t="shared" si="66"/>
        <v>47680.84304489493</v>
      </c>
      <c r="AE76" s="36">
        <f t="shared" si="28"/>
        <v>1986.7017935372887</v>
      </c>
      <c r="AG76" s="1">
        <f t="shared" si="11"/>
        <v>162000000</v>
      </c>
      <c r="AH76" s="1">
        <f t="shared" si="62"/>
        <v>162000</v>
      </c>
      <c r="AI76" s="1">
        <f t="shared" si="63"/>
        <v>162162000</v>
      </c>
      <c r="AJ76" s="1">
        <f t="shared" si="67"/>
        <v>2489137438.240334</v>
      </c>
      <c r="AK76" s="1">
        <f t="shared" si="68"/>
        <v>2491626575.6785746</v>
      </c>
      <c r="AL76" s="39">
        <f>+AJ76/('Volcano Summary'!C$8)*10^6</f>
        <v>172.80308476340545</v>
      </c>
      <c r="AM76" s="1">
        <f t="shared" si="16"/>
        <v>1986.7017935372887</v>
      </c>
    </row>
    <row r="77" spans="1:39" ht="12.75" hidden="1">
      <c r="A77" s="1">
        <f t="shared" si="64"/>
        <v>2996242.8015482477</v>
      </c>
      <c r="B77" s="1">
        <f t="shared" si="60"/>
        <v>2032.530766399945</v>
      </c>
      <c r="C77" s="1">
        <f>+C76+4</f>
        <v>208</v>
      </c>
      <c r="D77" s="12">
        <f t="shared" si="19"/>
        <v>16.273715780512877</v>
      </c>
      <c r="E77" s="38">
        <f t="shared" si="0"/>
        <v>171814263.31618068</v>
      </c>
      <c r="F77" s="38">
        <f t="shared" si="1"/>
        <v>110467642.70638326</v>
      </c>
      <c r="G77" s="38">
        <f t="shared" si="2"/>
        <v>49121022.096585825</v>
      </c>
      <c r="H77" s="18">
        <f t="shared" si="20"/>
        <v>0.030724390590545398</v>
      </c>
      <c r="I77" s="50">
        <f t="shared" si="54"/>
        <v>0.0577399915528601</v>
      </c>
      <c r="J77" s="3">
        <f t="shared" si="21"/>
        <v>178.90260531648656</v>
      </c>
      <c r="K77" s="12">
        <f t="shared" si="31"/>
        <v>0.9825468671434822</v>
      </c>
      <c r="L77" s="3">
        <f t="shared" si="22"/>
        <v>1552.5020083087209</v>
      </c>
      <c r="M77" s="12">
        <v>0.718</v>
      </c>
      <c r="N77" s="37">
        <f t="shared" si="23"/>
        <v>294.2303799137593</v>
      </c>
      <c r="O77" s="1">
        <f t="shared" si="3"/>
        <v>14126.92266205954</v>
      </c>
      <c r="P77">
        <f t="shared" si="24"/>
        <v>118.85673166488948</v>
      </c>
      <c r="Q77" s="1">
        <f t="shared" si="25"/>
        <v>34.971261313068176</v>
      </c>
      <c r="R77" s="1">
        <f>+Q77*1000/'Material Properties'!AE$35</f>
        <v>29990.878536507353</v>
      </c>
      <c r="S77" s="1">
        <f t="shared" si="26"/>
        <v>144.18691604090074</v>
      </c>
      <c r="T77" s="1">
        <f t="shared" si="27"/>
        <v>27.09602381102286</v>
      </c>
      <c r="U77">
        <f t="shared" si="4"/>
        <v>0.0003063970818821288</v>
      </c>
      <c r="V77">
        <f>+'Material Properties'!AE$31+'Material Properties'!AE$33</f>
        <v>0.00029034311030761144</v>
      </c>
      <c r="W77">
        <f t="shared" si="61"/>
        <v>0.0005967401921897403</v>
      </c>
      <c r="X77" s="1">
        <f>+'Volcano Summary'!E$12*10^9/Q77/3600/24/365</f>
        <v>0</v>
      </c>
      <c r="Y77" s="3">
        <f t="shared" si="52"/>
        <v>4</v>
      </c>
      <c r="Z77" s="1">
        <f>+Y77*'Volcano Summary'!B$19*'Volcano Summary'!B$20/1000</f>
        <v>162000</v>
      </c>
      <c r="AA77" s="1">
        <f t="shared" si="7"/>
        <v>4632375.096504263</v>
      </c>
      <c r="AB77" s="3">
        <f t="shared" si="32"/>
        <v>1286.770860140073</v>
      </c>
      <c r="AC77" s="1">
        <f t="shared" si="65"/>
        <v>175610658.21695516</v>
      </c>
      <c r="AD77" s="36">
        <f t="shared" si="66"/>
        <v>48780.73839359868</v>
      </c>
      <c r="AE77" s="36">
        <f t="shared" si="28"/>
        <v>2032.530766399945</v>
      </c>
      <c r="AG77" s="1">
        <f t="shared" si="11"/>
        <v>161999999.99999997</v>
      </c>
      <c r="AH77" s="1">
        <f t="shared" si="62"/>
        <v>162000</v>
      </c>
      <c r="AI77" s="1">
        <f t="shared" si="63"/>
        <v>162161999.99999997</v>
      </c>
      <c r="AJ77" s="1">
        <f t="shared" si="67"/>
        <v>2570137438.240334</v>
      </c>
      <c r="AK77" s="1">
        <f t="shared" si="68"/>
        <v>2572707575.6785746</v>
      </c>
      <c r="AL77" s="39">
        <f>+AJ77/('Volcano Summary'!C$8)*10^6</f>
        <v>178.42633788346254</v>
      </c>
      <c r="AM77" s="1">
        <f t="shared" si="16"/>
        <v>2032.530766399945</v>
      </c>
    </row>
    <row r="78" spans="1:39" ht="12.75" hidden="1">
      <c r="A78" s="1">
        <f t="shared" si="64"/>
        <v>2951902.496198169</v>
      </c>
      <c r="B78" s="1">
        <f t="shared" si="60"/>
        <v>2077.542524591861</v>
      </c>
      <c r="C78" s="1">
        <f aca="true" t="shared" si="69" ref="C78:C103">+C77+4</f>
        <v>212</v>
      </c>
      <c r="D78" s="12">
        <f t="shared" si="19"/>
        <v>16.42944866646031</v>
      </c>
      <c r="E78" s="38">
        <f aca="true" t="shared" si="70" ref="E78:E141">+$D78*1000*A$7*$F$11/$F$10</f>
        <v>173458456.40852913</v>
      </c>
      <c r="F78" s="38">
        <f aca="true" t="shared" si="71" ref="F78:F141">+$D78*1000*C$7*$F$11/$F$10</f>
        <v>111524773.4216115</v>
      </c>
      <c r="G78" s="38">
        <f aca="true" t="shared" si="72" ref="G78:G141">+$D78*1000*D$7*$F$11/$F$10</f>
        <v>49591090.4346939</v>
      </c>
      <c r="H78" s="18">
        <f t="shared" si="20"/>
        <v>0.03043315756667591</v>
      </c>
      <c r="I78" s="50">
        <f t="shared" si="54"/>
        <v>0.05758252126005715</v>
      </c>
      <c r="J78" s="3">
        <f t="shared" si="21"/>
        <v>176.74179425937845</v>
      </c>
      <c r="K78" s="12">
        <f t="shared" si="31"/>
        <v>0.980998285885888</v>
      </c>
      <c r="L78" s="3">
        <f t="shared" si="22"/>
        <v>1550.05512705263</v>
      </c>
      <c r="M78" s="12">
        <v>0.718</v>
      </c>
      <c r="N78" s="37">
        <f t="shared" si="23"/>
        <v>299.88865645056234</v>
      </c>
      <c r="O78" s="1">
        <f aca="true" t="shared" si="73" ref="O78:O141">+L78/J78/P$9</f>
        <v>14277.098193598316</v>
      </c>
      <c r="P78">
        <f t="shared" si="24"/>
        <v>119.48681179778092</v>
      </c>
      <c r="Q78" s="1">
        <f t="shared" si="25"/>
        <v>35.832739453597725</v>
      </c>
      <c r="R78" s="1">
        <f>+Q78*1000/'Material Properties'!AE$35</f>
        <v>30729.67048464973</v>
      </c>
      <c r="S78" s="1">
        <f t="shared" si="26"/>
        <v>144.9512758709893</v>
      </c>
      <c r="T78" s="1">
        <f t="shared" si="27"/>
        <v>29.4537043853677</v>
      </c>
      <c r="U78">
        <f aca="true" t="shared" si="74" ref="U78:U141">+I$3*0.1*0.9/(T78+0.9)</f>
        <v>0.0002825981267754278</v>
      </c>
      <c r="V78">
        <f>+'Material Properties'!AE$31+'Material Properties'!AE$33</f>
        <v>0.00029034311030761144</v>
      </c>
      <c r="W78">
        <f t="shared" si="61"/>
        <v>0.0005729412370830392</v>
      </c>
      <c r="X78" s="1">
        <f>+'Volcano Summary'!E$12*10^9/Q78/3600/24/365</f>
        <v>0</v>
      </c>
      <c r="Y78" s="3">
        <f t="shared" si="52"/>
        <v>4</v>
      </c>
      <c r="Z78" s="1">
        <f>+Y78*'Volcano Summary'!B$19*'Volcano Summary'!B$20/1000</f>
        <v>162000</v>
      </c>
      <c r="AA78" s="1">
        <f aca="true" t="shared" si="75" ref="AA78:AA141">Z78/(AA$12/100*Q78)</f>
        <v>4521005.1609306885</v>
      </c>
      <c r="AB78" s="3">
        <f t="shared" si="32"/>
        <v>1255.8347669251912</v>
      </c>
      <c r="AC78" s="1">
        <f t="shared" si="65"/>
        <v>179499674.1247367</v>
      </c>
      <c r="AD78" s="36">
        <f t="shared" si="66"/>
        <v>49861.02059020466</v>
      </c>
      <c r="AE78" s="36">
        <f t="shared" si="28"/>
        <v>2077.542524591861</v>
      </c>
      <c r="AG78" s="1">
        <f aca="true" t="shared" si="76" ref="AG78:AG141">+AA78*Q78</f>
        <v>162000000</v>
      </c>
      <c r="AH78" s="1">
        <f t="shared" si="62"/>
        <v>162000</v>
      </c>
      <c r="AI78" s="1">
        <f t="shared" si="63"/>
        <v>162162000</v>
      </c>
      <c r="AJ78" s="1">
        <f t="shared" si="67"/>
        <v>2651137438.240334</v>
      </c>
      <c r="AK78" s="1">
        <f t="shared" si="68"/>
        <v>2653788575.6785746</v>
      </c>
      <c r="AL78" s="39">
        <f>+AJ78/('Volcano Summary'!C$8)*10^6</f>
        <v>184.04959100351962</v>
      </c>
      <c r="AM78" s="1">
        <f aca="true" t="shared" si="77" ref="AM78:AM141">+B78</f>
        <v>2077.542524591861</v>
      </c>
    </row>
    <row r="79" spans="1:39" ht="12.75" hidden="1">
      <c r="A79" s="1">
        <f t="shared" si="64"/>
        <v>2908713.804814344</v>
      </c>
      <c r="B79" s="1">
        <f t="shared" si="60"/>
        <v>2121.207723857682</v>
      </c>
      <c r="C79" s="1">
        <f t="shared" si="69"/>
        <v>216</v>
      </c>
      <c r="D79" s="12">
        <f aca="true" t="shared" si="78" ref="D79:D142">2*SQRT(C79/PI())</f>
        <v>16.583719174624104</v>
      </c>
      <c r="E79" s="38">
        <f t="shared" si="70"/>
        <v>175087210.04224533</v>
      </c>
      <c r="F79" s="38">
        <f t="shared" si="71"/>
        <v>112571977.36727569</v>
      </c>
      <c r="G79" s="38">
        <f t="shared" si="72"/>
        <v>50056744.69230602</v>
      </c>
      <c r="H79" s="18">
        <f aca="true" t="shared" si="79" ref="H79:H142">+(H$13/1000)/D79</f>
        <v>0.03015005227326115</v>
      </c>
      <c r="I79" s="50">
        <v>0.056</v>
      </c>
      <c r="J79" s="3">
        <f aca="true" t="shared" si="80" ref="J79:J142">+J$13*I79/D79+1.5</f>
        <v>170.34029273026243</v>
      </c>
      <c r="K79" s="12">
        <f t="shared" si="31"/>
        <v>0.9764105431233548</v>
      </c>
      <c r="L79" s="3">
        <f aca="true" t="shared" si="81" ref="L79:L142">+L$10*K79</f>
        <v>1542.8061294825259</v>
      </c>
      <c r="M79" s="12">
        <v>0.718</v>
      </c>
      <c r="N79" s="37">
        <f aca="true" t="shared" si="82" ref="N79:N142">1.111*10^-6*(D79*1000)^2</f>
        <v>305.54693298736544</v>
      </c>
      <c r="O79" s="1">
        <f t="shared" si="73"/>
        <v>14744.363475342485</v>
      </c>
      <c r="P79">
        <f aca="true" t="shared" si="83" ref="P79:P142">+SQRT(O79)</f>
        <v>121.42637059281022</v>
      </c>
      <c r="Q79" s="1">
        <f aca="true" t="shared" si="84" ref="Q79:Q142">+P79*N79/1000</f>
        <v>37.10145511842038</v>
      </c>
      <c r="R79" s="1">
        <f>+Q79*1000/'Material Properties'!AE$35</f>
        <v>31817.703800360934</v>
      </c>
      <c r="S79" s="1">
        <f aca="true" t="shared" si="85" ref="S79:S142">+R79/C79</f>
        <v>147.30418426093024</v>
      </c>
      <c r="T79" s="1">
        <f aca="true" t="shared" si="86" ref="T79:T142">+L79-L79*K79</f>
        <v>36.39395866045197</v>
      </c>
      <c r="U79">
        <f t="shared" si="74"/>
        <v>0.00023000776286847643</v>
      </c>
      <c r="V79">
        <f>+'Material Properties'!AE$31+'Material Properties'!AE$33</f>
        <v>0.00029034311030761144</v>
      </c>
      <c r="W79">
        <f t="shared" si="61"/>
        <v>0.0005203508731760879</v>
      </c>
      <c r="X79" s="1">
        <f>+'Volcano Summary'!E$12*10^9/Q79/3600/24/365</f>
        <v>0</v>
      </c>
      <c r="Y79" s="3">
        <f t="shared" si="52"/>
        <v>4</v>
      </c>
      <c r="Z79" s="1">
        <f>+Y79*'Volcano Summary'!B$19*'Volcano Summary'!B$20/1000</f>
        <v>162000</v>
      </c>
      <c r="AA79" s="1">
        <f t="shared" si="75"/>
        <v>4366405.562340576</v>
      </c>
      <c r="AB79" s="3">
        <f t="shared" si="32"/>
        <v>1212.8904339834935</v>
      </c>
      <c r="AC79" s="1">
        <f t="shared" si="65"/>
        <v>183272347.34130368</v>
      </c>
      <c r="AD79" s="36">
        <f t="shared" si="66"/>
        <v>50908.98537258437</v>
      </c>
      <c r="AE79" s="36">
        <f t="shared" si="28"/>
        <v>2121.207723857682</v>
      </c>
      <c r="AG79" s="1">
        <f t="shared" si="76"/>
        <v>162000000</v>
      </c>
      <c r="AH79" s="1">
        <f t="shared" si="62"/>
        <v>162000</v>
      </c>
      <c r="AI79" s="1">
        <f t="shared" si="63"/>
        <v>162162000</v>
      </c>
      <c r="AJ79" s="1">
        <f t="shared" si="67"/>
        <v>2732137438.240334</v>
      </c>
      <c r="AK79" s="1">
        <f t="shared" si="68"/>
        <v>2734869575.6785746</v>
      </c>
      <c r="AL79" s="39">
        <f>+AJ79/('Volcano Summary'!C$8)*10^6</f>
        <v>189.6728441235767</v>
      </c>
      <c r="AM79" s="1">
        <f t="shared" si="77"/>
        <v>2121.207723857682</v>
      </c>
    </row>
    <row r="80" spans="1:39" ht="12.75" hidden="1">
      <c r="A80" s="1">
        <f t="shared" si="64"/>
        <v>2866634.229815082</v>
      </c>
      <c r="B80" s="1">
        <f t="shared" si="60"/>
        <v>2164.671115580403</v>
      </c>
      <c r="C80" s="1">
        <f t="shared" si="69"/>
        <v>220</v>
      </c>
      <c r="D80" s="12">
        <f t="shared" si="78"/>
        <v>16.73656774376801</v>
      </c>
      <c r="E80" s="38">
        <f t="shared" si="70"/>
        <v>176700951.16078198</v>
      </c>
      <c r="F80" s="38">
        <f t="shared" si="71"/>
        <v>113609529.045829</v>
      </c>
      <c r="G80" s="38">
        <f t="shared" si="72"/>
        <v>50518106.930876024</v>
      </c>
      <c r="H80" s="18">
        <f t="shared" si="79"/>
        <v>0.029874703562573567</v>
      </c>
      <c r="I80" s="50">
        <f>+I$79*LN(H$79)/LN(H80)</f>
        <v>0.055853656090832204</v>
      </c>
      <c r="J80" s="3">
        <f t="shared" si="80"/>
        <v>168.36114185995436</v>
      </c>
      <c r="K80" s="12">
        <f t="shared" si="31"/>
        <v>0.9749921516663007</v>
      </c>
      <c r="L80" s="3">
        <f t="shared" si="81"/>
        <v>1540.5649584409384</v>
      </c>
      <c r="M80" s="12">
        <v>0.718</v>
      </c>
      <c r="N80" s="37">
        <f t="shared" si="82"/>
        <v>311.2052095241685</v>
      </c>
      <c r="O80" s="1">
        <f t="shared" si="73"/>
        <v>14896.018903270206</v>
      </c>
      <c r="P80">
        <f t="shared" si="83"/>
        <v>122.04924786032156</v>
      </c>
      <c r="Q80" s="1">
        <f t="shared" si="84"/>
        <v>37.98236175263854</v>
      </c>
      <c r="R80" s="1">
        <f>+Q80*1000/'Material Properties'!AE$35</f>
        <v>32573.157360709585</v>
      </c>
      <c r="S80" s="1">
        <f t="shared" si="85"/>
        <v>148.05980618504356</v>
      </c>
      <c r="T80" s="1">
        <f t="shared" si="86"/>
        <v>38.526214828902766</v>
      </c>
      <c r="U80">
        <f t="shared" si="74"/>
        <v>0.00021756843859410186</v>
      </c>
      <c r="V80">
        <f>+'Material Properties'!AE$31+'Material Properties'!AE$33</f>
        <v>0.00029034311030761144</v>
      </c>
      <c r="W80">
        <f t="shared" si="61"/>
        <v>0.0005079115489017134</v>
      </c>
      <c r="X80" s="1">
        <f>+'Volcano Summary'!E$12*10^9/Q80/3600/24/365</f>
        <v>0</v>
      </c>
      <c r="Y80" s="3">
        <f t="shared" si="52"/>
        <v>4</v>
      </c>
      <c r="Z80" s="1">
        <f>+Y80*'Volcano Summary'!B$19*'Volcano Summary'!B$20/1000</f>
        <v>162000</v>
      </c>
      <c r="AA80" s="1">
        <f t="shared" si="75"/>
        <v>4265137.619799176</v>
      </c>
      <c r="AB80" s="3">
        <f t="shared" si="32"/>
        <v>1184.7604499442157</v>
      </c>
      <c r="AC80" s="1">
        <f t="shared" si="65"/>
        <v>187027584.38614675</v>
      </c>
      <c r="AD80" s="36">
        <f t="shared" si="66"/>
        <v>51952.10677392967</v>
      </c>
      <c r="AE80" s="36">
        <f t="shared" si="28"/>
        <v>2164.671115580403</v>
      </c>
      <c r="AG80" s="1">
        <f t="shared" si="76"/>
        <v>162000000</v>
      </c>
      <c r="AH80" s="1">
        <f t="shared" si="62"/>
        <v>162000</v>
      </c>
      <c r="AI80" s="1">
        <f t="shared" si="63"/>
        <v>162162000</v>
      </c>
      <c r="AJ80" s="1">
        <f t="shared" si="67"/>
        <v>2813137438.240334</v>
      </c>
      <c r="AK80" s="1">
        <f t="shared" si="68"/>
        <v>2815950575.6785746</v>
      </c>
      <c r="AL80" s="39">
        <f>+AJ80/('Volcano Summary'!C$8)*10^6</f>
        <v>195.29609724363377</v>
      </c>
      <c r="AM80" s="1">
        <f t="shared" si="77"/>
        <v>2164.671115580403</v>
      </c>
    </row>
    <row r="81" spans="1:39" ht="12.75" hidden="1">
      <c r="A81" s="1">
        <f t="shared" si="64"/>
        <v>2825623.2965702554</v>
      </c>
      <c r="B81" s="1">
        <f t="shared" si="60"/>
        <v>2207.3887362696005</v>
      </c>
      <c r="C81" s="1">
        <f t="shared" si="69"/>
        <v>224</v>
      </c>
      <c r="D81" s="12">
        <f t="shared" si="78"/>
        <v>16.88803298257901</v>
      </c>
      <c r="E81" s="38">
        <f t="shared" si="70"/>
        <v>178300087.38604924</v>
      </c>
      <c r="F81" s="38">
        <f t="shared" si="71"/>
        <v>114637690.53697698</v>
      </c>
      <c r="G81" s="38">
        <f t="shared" si="72"/>
        <v>50975293.68790474</v>
      </c>
      <c r="H81" s="18">
        <f t="shared" si="79"/>
        <v>0.029606763589091704</v>
      </c>
      <c r="I81" s="50">
        <f aca="true" t="shared" si="87" ref="I81:I102">+I$79*LN(H$79)/LN(H81)</f>
        <v>0.05571069157477684</v>
      </c>
      <c r="J81" s="3">
        <f t="shared" si="80"/>
        <v>166.4413274839221</v>
      </c>
      <c r="K81" s="12">
        <f t="shared" si="31"/>
        <v>0.9736162846968109</v>
      </c>
      <c r="L81" s="3">
        <f t="shared" si="81"/>
        <v>1538.3909794637234</v>
      </c>
      <c r="M81" s="12">
        <v>0.718</v>
      </c>
      <c r="N81" s="37">
        <f t="shared" si="82"/>
        <v>316.8634860609716</v>
      </c>
      <c r="O81" s="1">
        <f t="shared" si="73"/>
        <v>15046.573671609127</v>
      </c>
      <c r="P81">
        <f t="shared" si="83"/>
        <v>122.66447599696143</v>
      </c>
      <c r="Q81" s="1">
        <f t="shared" si="84"/>
        <v>38.86789348023957</v>
      </c>
      <c r="R81" s="1">
        <f>+Q81*1000/'Material Properties'!AE$35</f>
        <v>33332.57733830078</v>
      </c>
      <c r="S81" s="1">
        <f t="shared" si="85"/>
        <v>148.80614883169991</v>
      </c>
      <c r="T81" s="1">
        <f t="shared" si="86"/>
        <v>40.58846962716507</v>
      </c>
      <c r="U81">
        <f t="shared" si="74"/>
        <v>0.00020675383009026484</v>
      </c>
      <c r="V81">
        <f>+'Material Properties'!AE$31+'Material Properties'!AE$33</f>
        <v>0.00029034311030761144</v>
      </c>
      <c r="W81">
        <f t="shared" si="61"/>
        <v>0.0004970969403978763</v>
      </c>
      <c r="X81" s="1">
        <f>+'Volcano Summary'!E$12*10^9/Q81/3600/24/365</f>
        <v>0</v>
      </c>
      <c r="Y81" s="3">
        <f t="shared" si="52"/>
        <v>4</v>
      </c>
      <c r="Z81" s="1">
        <f>+Y81*'Volcano Summary'!B$19*'Volcano Summary'!B$20/1000</f>
        <v>162000</v>
      </c>
      <c r="AA81" s="1">
        <f t="shared" si="75"/>
        <v>4167964.494457637</v>
      </c>
      <c r="AB81" s="3">
        <f t="shared" si="32"/>
        <v>1157.7679151271213</v>
      </c>
      <c r="AC81" s="1">
        <f t="shared" si="65"/>
        <v>190718386.81369337</v>
      </c>
      <c r="AD81" s="36">
        <f t="shared" si="66"/>
        <v>52977.32967047041</v>
      </c>
      <c r="AE81" s="36">
        <f t="shared" si="28"/>
        <v>2207.3887362696005</v>
      </c>
      <c r="AG81" s="1">
        <f t="shared" si="76"/>
        <v>162000000.00000003</v>
      </c>
      <c r="AH81" s="1">
        <f t="shared" si="62"/>
        <v>162000</v>
      </c>
      <c r="AI81" s="1">
        <f t="shared" si="63"/>
        <v>162162000.00000003</v>
      </c>
      <c r="AJ81" s="1">
        <f t="shared" si="67"/>
        <v>2894137438.240334</v>
      </c>
      <c r="AK81" s="1">
        <f t="shared" si="68"/>
        <v>2897031575.6785746</v>
      </c>
      <c r="AL81" s="39">
        <f>+AJ81/('Volcano Summary'!C$8)*10^6</f>
        <v>200.91935036369085</v>
      </c>
      <c r="AM81" s="1">
        <f t="shared" si="77"/>
        <v>2207.3887362696005</v>
      </c>
    </row>
    <row r="82" spans="1:39" ht="12.75" hidden="1">
      <c r="A82" s="1">
        <f t="shared" si="64"/>
        <v>2785642.435919139</v>
      </c>
      <c r="B82" s="1">
        <f t="shared" si="60"/>
        <v>2249.382624364458</v>
      </c>
      <c r="C82" s="1">
        <f t="shared" si="69"/>
        <v>228</v>
      </c>
      <c r="D82" s="12">
        <f t="shared" si="78"/>
        <v>17.03815178355966</v>
      </c>
      <c r="E82" s="38">
        <f t="shared" si="70"/>
        <v>179885008.22086462</v>
      </c>
      <c r="F82" s="38">
        <f t="shared" si="71"/>
        <v>115656712.27079016</v>
      </c>
      <c r="G82" s="38">
        <f t="shared" si="72"/>
        <v>51428416.32071572</v>
      </c>
      <c r="H82" s="18">
        <f t="shared" si="79"/>
        <v>0.029345905961611206</v>
      </c>
      <c r="I82" s="50">
        <f t="shared" si="87"/>
        <v>0.055570968305367424</v>
      </c>
      <c r="J82" s="3">
        <f t="shared" si="80"/>
        <v>164.57804100849893</v>
      </c>
      <c r="K82" s="12">
        <f t="shared" si="31"/>
        <v>0.9722809293894243</v>
      </c>
      <c r="L82" s="3">
        <f t="shared" si="81"/>
        <v>1536.2810121269483</v>
      </c>
      <c r="M82" s="12">
        <v>0.718</v>
      </c>
      <c r="N82" s="37">
        <f t="shared" si="82"/>
        <v>322.5217625977748</v>
      </c>
      <c r="O82" s="1">
        <f t="shared" si="73"/>
        <v>15196.054288396133</v>
      </c>
      <c r="P82">
        <f t="shared" si="83"/>
        <v>123.2722770471777</v>
      </c>
      <c r="Q82" s="1">
        <f t="shared" si="84"/>
        <v>39.757992072696965</v>
      </c>
      <c r="R82" s="1">
        <f>+Q82*1000/'Material Properties'!AE$35</f>
        <v>34095.91379714135</v>
      </c>
      <c r="S82" s="1">
        <f t="shared" si="85"/>
        <v>149.54348156640944</v>
      </c>
      <c r="T82" s="1">
        <f t="shared" si="86"/>
        <v>42.584281852833556</v>
      </c>
      <c r="U82">
        <f t="shared" si="74"/>
        <v>0.0001972643823124571</v>
      </c>
      <c r="V82">
        <f>+'Material Properties'!AE$31+'Material Properties'!AE$33</f>
        <v>0.00029034311030761144</v>
      </c>
      <c r="W82">
        <f t="shared" si="61"/>
        <v>0.0004876074926200686</v>
      </c>
      <c r="X82" s="1">
        <f>+'Volcano Summary'!E$12*10^9/Q82/3600/24/365</f>
        <v>0</v>
      </c>
      <c r="Y82" s="3">
        <f t="shared" si="52"/>
        <v>4</v>
      </c>
      <c r="Z82" s="1">
        <f>+Y82*'Volcano Summary'!B$19*'Volcano Summary'!B$20/1000</f>
        <v>162000</v>
      </c>
      <c r="AA82" s="1">
        <f t="shared" si="75"/>
        <v>4074652.454877126</v>
      </c>
      <c r="AB82" s="3">
        <f t="shared" si="32"/>
        <v>1131.847904132535</v>
      </c>
      <c r="AC82" s="1">
        <f t="shared" si="65"/>
        <v>194346658.7450891</v>
      </c>
      <c r="AD82" s="36">
        <f t="shared" si="66"/>
        <v>53985.18298474699</v>
      </c>
      <c r="AE82" s="36">
        <f t="shared" si="28"/>
        <v>2249.382624364458</v>
      </c>
      <c r="AG82" s="1">
        <f t="shared" si="76"/>
        <v>162000000</v>
      </c>
      <c r="AH82" s="1">
        <f t="shared" si="62"/>
        <v>162000</v>
      </c>
      <c r="AI82" s="1">
        <f t="shared" si="63"/>
        <v>162162000</v>
      </c>
      <c r="AJ82" s="1">
        <f t="shared" si="67"/>
        <v>2975137438.240334</v>
      </c>
      <c r="AK82" s="1">
        <f t="shared" si="68"/>
        <v>2978112575.6785746</v>
      </c>
      <c r="AL82" s="39">
        <f>+AJ82/('Volcano Summary'!C$8)*10^6</f>
        <v>206.54260348374794</v>
      </c>
      <c r="AM82" s="1">
        <f t="shared" si="77"/>
        <v>2249.382624364458</v>
      </c>
    </row>
    <row r="83" spans="1:39" ht="12.75" hidden="1">
      <c r="A83" s="1">
        <f t="shared" si="64"/>
        <v>2746654.874715488</v>
      </c>
      <c r="B83" s="1">
        <f t="shared" si="60"/>
        <v>2290.673919916709</v>
      </c>
      <c r="C83" s="1">
        <f t="shared" si="69"/>
        <v>232</v>
      </c>
      <c r="D83" s="12">
        <f t="shared" si="78"/>
        <v>17.186959427966244</v>
      </c>
      <c r="E83" s="38">
        <f t="shared" si="70"/>
        <v>181456086.15686673</v>
      </c>
      <c r="F83" s="38">
        <f t="shared" si="71"/>
        <v>116666833.74003503</v>
      </c>
      <c r="G83" s="38">
        <f t="shared" si="72"/>
        <v>51877581.323203325</v>
      </c>
      <c r="H83" s="18">
        <f t="shared" si="79"/>
        <v>0.02909182407136023</v>
      </c>
      <c r="I83" s="50">
        <f t="shared" si="87"/>
        <v>0.055434356129266726</v>
      </c>
      <c r="J83" s="3">
        <f t="shared" si="80"/>
        <v>162.76865360217573</v>
      </c>
      <c r="K83" s="12">
        <f t="shared" si="31"/>
        <v>0.970984201748226</v>
      </c>
      <c r="L83" s="3">
        <f t="shared" si="81"/>
        <v>1534.2320795675857</v>
      </c>
      <c r="M83" s="12">
        <v>0.718</v>
      </c>
      <c r="N83" s="37">
        <f t="shared" si="82"/>
        <v>328.1800391345777</v>
      </c>
      <c r="O83" s="1">
        <f t="shared" si="73"/>
        <v>15344.486176742905</v>
      </c>
      <c r="P83">
        <f t="shared" si="83"/>
        <v>123.87286295530149</v>
      </c>
      <c r="Q83" s="1">
        <f t="shared" si="84"/>
        <v>40.65260101238303</v>
      </c>
      <c r="R83" s="1">
        <f>+Q83*1000/'Material Properties'!AE$35</f>
        <v>34863.11826848172</v>
      </c>
      <c r="S83" s="1">
        <f t="shared" si="85"/>
        <v>150.27206150207638</v>
      </c>
      <c r="T83" s="1">
        <f t="shared" si="86"/>
        <v>44.51696849213272</v>
      </c>
      <c r="U83">
        <f t="shared" si="74"/>
        <v>0.00018886993748792134</v>
      </c>
      <c r="V83">
        <f>+'Material Properties'!AE$31+'Material Properties'!AE$33</f>
        <v>0.00029034311030761144</v>
      </c>
      <c r="W83">
        <f t="shared" si="61"/>
        <v>0.00047921304779553276</v>
      </c>
      <c r="X83" s="1">
        <f>+'Volcano Summary'!E$12*10^9/Q83/3600/24/365</f>
        <v>0</v>
      </c>
      <c r="Y83" s="3">
        <f t="shared" si="52"/>
        <v>4</v>
      </c>
      <c r="Z83" s="1">
        <f>+Y83*'Volcano Summary'!B$19*'Volcano Summary'!B$20/1000</f>
        <v>162000</v>
      </c>
      <c r="AA83" s="1">
        <f t="shared" si="75"/>
        <v>3984984.8709718185</v>
      </c>
      <c r="AB83" s="3">
        <f t="shared" si="32"/>
        <v>1106.9402419366163</v>
      </c>
      <c r="AC83" s="1">
        <f t="shared" si="65"/>
        <v>197914226.68080363</v>
      </c>
      <c r="AD83" s="36">
        <f t="shared" si="66"/>
        <v>54976.17407800102</v>
      </c>
      <c r="AE83" s="36">
        <f t="shared" si="28"/>
        <v>2290.673919916709</v>
      </c>
      <c r="AG83" s="1">
        <f t="shared" si="76"/>
        <v>162000000</v>
      </c>
      <c r="AH83" s="1">
        <f t="shared" si="62"/>
        <v>162000</v>
      </c>
      <c r="AI83" s="1">
        <f t="shared" si="63"/>
        <v>162162000</v>
      </c>
      <c r="AJ83" s="1">
        <f t="shared" si="67"/>
        <v>3056137438.240334</v>
      </c>
      <c r="AK83" s="1">
        <f t="shared" si="68"/>
        <v>3059193575.6785746</v>
      </c>
      <c r="AL83" s="39">
        <f>+AJ83/('Volcano Summary'!C$8)*10^6</f>
        <v>212.165856603805</v>
      </c>
      <c r="AM83" s="1">
        <f t="shared" si="77"/>
        <v>2290.673919916709</v>
      </c>
    </row>
    <row r="84" spans="1:39" ht="12.75" hidden="1">
      <c r="A84" s="1">
        <f t="shared" si="64"/>
        <v>2708625.533770794</v>
      </c>
      <c r="B84" s="1">
        <f t="shared" si="60"/>
        <v>2331.2829096272203</v>
      </c>
      <c r="C84" s="1">
        <f t="shared" si="69"/>
        <v>236</v>
      </c>
      <c r="D84" s="12">
        <f t="shared" si="78"/>
        <v>17.334489682638438</v>
      </c>
      <c r="E84" s="38">
        <f t="shared" si="70"/>
        <v>183013677.69682127</v>
      </c>
      <c r="F84" s="38">
        <f t="shared" si="71"/>
        <v>117668284.15746368</v>
      </c>
      <c r="G84" s="38">
        <f t="shared" si="72"/>
        <v>52322890.61810606</v>
      </c>
      <c r="H84" s="18">
        <f t="shared" si="79"/>
        <v>0.028844229576644582</v>
      </c>
      <c r="I84" s="50">
        <f t="shared" si="87"/>
        <v>0.055300732293346234</v>
      </c>
      <c r="J84" s="3">
        <f t="shared" si="80"/>
        <v>161.01070180258418</v>
      </c>
      <c r="K84" s="12">
        <f aca="true" t="shared" si="88" ref="K84:K106">0.926-(100-J84)/60*(0.926-0.883)</f>
        <v>0.9697243362918521</v>
      </c>
      <c r="L84" s="3">
        <f t="shared" si="81"/>
        <v>1532.2413921850025</v>
      </c>
      <c r="M84" s="12">
        <v>0.718</v>
      </c>
      <c r="N84" s="37">
        <f t="shared" si="82"/>
        <v>333.8383156713809</v>
      </c>
      <c r="O84" s="1">
        <f t="shared" si="73"/>
        <v>15491.893736959008</v>
      </c>
      <c r="P84">
        <f t="shared" si="83"/>
        <v>124.46643618646357</v>
      </c>
      <c r="Q84" s="1">
        <f t="shared" si="84"/>
        <v>41.551665414108406</v>
      </c>
      <c r="R84" s="1">
        <f>+Q84*1000/'Material Properties'!AE$35</f>
        <v>35634.14368352923</v>
      </c>
      <c r="S84" s="1">
        <f t="shared" si="85"/>
        <v>150.99213425224252</v>
      </c>
      <c r="T84" s="1">
        <f t="shared" si="86"/>
        <v>46.3896251094975</v>
      </c>
      <c r="U84">
        <f t="shared" si="74"/>
        <v>0.0001813907380347839</v>
      </c>
      <c r="V84">
        <f>+'Material Properties'!AE$31+'Material Properties'!AE$33</f>
        <v>0.00029034311030761144</v>
      </c>
      <c r="W84">
        <f t="shared" si="61"/>
        <v>0.00047173384834239536</v>
      </c>
      <c r="X84" s="1">
        <f>+'Volcano Summary'!E$12*10^9/Q84/3600/24/365</f>
        <v>0</v>
      </c>
      <c r="Y84" s="3">
        <f t="shared" si="52"/>
        <v>4</v>
      </c>
      <c r="Z84" s="1">
        <f>+Y84*'Volcano Summary'!B$19*'Volcano Summary'!B$20/1000</f>
        <v>162000</v>
      </c>
      <c r="AA84" s="1">
        <f t="shared" si="75"/>
        <v>3898760.6967251594</v>
      </c>
      <c r="AB84" s="3">
        <f t="shared" si="32"/>
        <v>1082.9890824236554</v>
      </c>
      <c r="AC84" s="1">
        <f t="shared" si="65"/>
        <v>201422843.39179176</v>
      </c>
      <c r="AD84" s="36">
        <f t="shared" si="66"/>
        <v>55950.789831053284</v>
      </c>
      <c r="AE84" s="36">
        <f t="shared" si="28"/>
        <v>2331.2829096272203</v>
      </c>
      <c r="AG84" s="1">
        <f t="shared" si="76"/>
        <v>162000000</v>
      </c>
      <c r="AH84" s="1">
        <f t="shared" si="62"/>
        <v>162000</v>
      </c>
      <c r="AI84" s="1">
        <f t="shared" si="63"/>
        <v>162162000</v>
      </c>
      <c r="AJ84" s="1">
        <f t="shared" si="67"/>
        <v>3137137438.240334</v>
      </c>
      <c r="AK84" s="1">
        <f t="shared" si="68"/>
        <v>3140274575.6785746</v>
      </c>
      <c r="AL84" s="39">
        <f>+AJ84/('Volcano Summary'!C$8)*10^6</f>
        <v>217.7891097238621</v>
      </c>
      <c r="AM84" s="1">
        <f t="shared" si="77"/>
        <v>2331.2829096272203</v>
      </c>
    </row>
    <row r="85" spans="1:39" ht="12.75" hidden="1">
      <c r="A85" s="1">
        <f t="shared" si="64"/>
        <v>2671520.932622162</v>
      </c>
      <c r="B85" s="1">
        <f t="shared" si="60"/>
        <v>2371.229069350185</v>
      </c>
      <c r="C85" s="1">
        <f t="shared" si="69"/>
        <v>240</v>
      </c>
      <c r="D85" s="12">
        <f t="shared" si="78"/>
        <v>17.480774889473267</v>
      </c>
      <c r="E85" s="38">
        <f t="shared" si="70"/>
        <v>184558124.29926708</v>
      </c>
      <c r="F85" s="38">
        <f t="shared" si="71"/>
        <v>118661283.0631721</v>
      </c>
      <c r="G85" s="38">
        <f t="shared" si="72"/>
        <v>52764441.82707715</v>
      </c>
      <c r="H85" s="18">
        <f t="shared" si="79"/>
        <v>0.028602851026992778</v>
      </c>
      <c r="I85" s="50">
        <f t="shared" si="87"/>
        <v>0.05516998090507094</v>
      </c>
      <c r="J85" s="3">
        <f t="shared" si="80"/>
        <v>159.30187449897804</v>
      </c>
      <c r="K85" s="12">
        <f t="shared" si="88"/>
        <v>0.9684996767242677</v>
      </c>
      <c r="L85" s="3">
        <f t="shared" si="81"/>
        <v>1530.3063329000477</v>
      </c>
      <c r="M85" s="12">
        <v>0.718</v>
      </c>
      <c r="N85" s="37">
        <f t="shared" si="82"/>
        <v>339.4965922081839</v>
      </c>
      <c r="O85" s="1">
        <f t="shared" si="73"/>
        <v>15638.30040413534</v>
      </c>
      <c r="P85">
        <f t="shared" si="83"/>
        <v>125.05319029970943</v>
      </c>
      <c r="Q85" s="1">
        <f t="shared" si="84"/>
        <v>42.45513195151287</v>
      </c>
      <c r="R85" s="1">
        <f>+Q85*1000/'Material Properties'!AE$35</f>
        <v>36408.944310321924</v>
      </c>
      <c r="S85" s="1">
        <f t="shared" si="85"/>
        <v>151.70393462634135</v>
      </c>
      <c r="T85" s="1">
        <f t="shared" si="86"/>
        <v>48.20514419725191</v>
      </c>
      <c r="U85">
        <f t="shared" si="74"/>
        <v>0.00017468434601359032</v>
      </c>
      <c r="V85">
        <f>+'Material Properties'!AE$31+'Material Properties'!AE$33</f>
        <v>0.00029034311030761144</v>
      </c>
      <c r="W85">
        <f t="shared" si="61"/>
        <v>0.00046502745632120176</v>
      </c>
      <c r="X85" s="1">
        <f>+'Volcano Summary'!E$12*10^9/Q85/3600/24/365</f>
        <v>0</v>
      </c>
      <c r="Y85" s="3">
        <f t="shared" si="52"/>
        <v>4</v>
      </c>
      <c r="Z85" s="1">
        <f>+Y85*'Volcano Summary'!B$19*'Volcano Summary'!B$20/1000</f>
        <v>162000</v>
      </c>
      <c r="AA85" s="1">
        <f t="shared" si="75"/>
        <v>3815793.1103598233</v>
      </c>
      <c r="AB85" s="3">
        <f t="shared" si="32"/>
        <v>1059.9425306555065</v>
      </c>
      <c r="AC85" s="1">
        <f t="shared" si="65"/>
        <v>204874191.59185594</v>
      </c>
      <c r="AD85" s="36">
        <f t="shared" si="66"/>
        <v>56909.497664404444</v>
      </c>
      <c r="AE85" s="36">
        <f t="shared" si="28"/>
        <v>2371.229069350185</v>
      </c>
      <c r="AG85" s="1">
        <f t="shared" si="76"/>
        <v>162000000</v>
      </c>
      <c r="AH85" s="1">
        <f t="shared" si="62"/>
        <v>162000</v>
      </c>
      <c r="AI85" s="1">
        <f t="shared" si="63"/>
        <v>162162000</v>
      </c>
      <c r="AJ85" s="1">
        <f t="shared" si="67"/>
        <v>3218137438.240334</v>
      </c>
      <c r="AK85" s="1">
        <f t="shared" si="68"/>
        <v>3221355575.6785746</v>
      </c>
      <c r="AL85" s="39">
        <f>+AJ85/('Volcano Summary'!C$8)*10^6</f>
        <v>223.41236284391917</v>
      </c>
      <c r="AM85" s="1">
        <f t="shared" si="77"/>
        <v>2371.229069350185</v>
      </c>
    </row>
    <row r="86" spans="1:39" ht="12.75" hidden="1">
      <c r="A86" s="1">
        <f t="shared" si="64"/>
        <v>2635309.1006012526</v>
      </c>
      <c r="B86" s="1">
        <f t="shared" si="60"/>
        <v>2410.5311042051403</v>
      </c>
      <c r="C86" s="1">
        <f t="shared" si="69"/>
        <v>244</v>
      </c>
      <c r="D86" s="12">
        <f t="shared" si="78"/>
        <v>17.625846048215095</v>
      </c>
      <c r="E86" s="38">
        <f t="shared" si="70"/>
        <v>186089753.2525943</v>
      </c>
      <c r="F86" s="38">
        <f t="shared" si="71"/>
        <v>119646040.88658716</v>
      </c>
      <c r="G86" s="38">
        <f t="shared" si="72"/>
        <v>53202328.52058003</v>
      </c>
      <c r="H86" s="18">
        <f t="shared" si="79"/>
        <v>0.02836743261187358</v>
      </c>
      <c r="I86" s="50">
        <f t="shared" si="87"/>
        <v>0.055041992440588265</v>
      </c>
      <c r="J86" s="3">
        <f t="shared" si="80"/>
        <v>157.64000113816428</v>
      </c>
      <c r="K86" s="12">
        <f t="shared" si="88"/>
        <v>0.9673086674823511</v>
      </c>
      <c r="L86" s="3">
        <f t="shared" si="81"/>
        <v>1528.424443799566</v>
      </c>
      <c r="M86" s="12">
        <v>0.718</v>
      </c>
      <c r="N86" s="37">
        <f t="shared" si="82"/>
        <v>345.15486874498686</v>
      </c>
      <c r="O86" s="1">
        <f t="shared" si="73"/>
        <v>15783.728701589285</v>
      </c>
      <c r="P86">
        <f t="shared" si="83"/>
        <v>125.63331047771241</v>
      </c>
      <c r="Q86" s="1">
        <f t="shared" si="84"/>
        <v>43.362948787933014</v>
      </c>
      <c r="R86" s="1">
        <f>+Q86*1000/'Material Properties'!AE$35</f>
        <v>37187.47569444157</v>
      </c>
      <c r="S86" s="1">
        <f t="shared" si="85"/>
        <v>152.40768727230153</v>
      </c>
      <c r="T86" s="1">
        <f t="shared" si="86"/>
        <v>49.966231720354244</v>
      </c>
      <c r="U86">
        <f t="shared" si="74"/>
        <v>0.00016863643540882805</v>
      </c>
      <c r="V86">
        <f>+'Material Properties'!AE$31+'Material Properties'!AE$33</f>
        <v>0.00029034311030761144</v>
      </c>
      <c r="W86">
        <f t="shared" si="61"/>
        <v>0.00045897954571643947</v>
      </c>
      <c r="X86" s="1">
        <f>+'Volcano Summary'!E$12*10^9/Q86/3600/24/365</f>
        <v>0</v>
      </c>
      <c r="Y86" s="3">
        <f t="shared" si="52"/>
        <v>4</v>
      </c>
      <c r="Z86" s="1">
        <f>+Y86*'Volcano Summary'!B$19*'Volcano Summary'!B$20/1000</f>
        <v>162000</v>
      </c>
      <c r="AA86" s="1">
        <f t="shared" si="75"/>
        <v>3735908.2933280854</v>
      </c>
      <c r="AB86" s="3">
        <f t="shared" si="32"/>
        <v>1037.7523037022459</v>
      </c>
      <c r="AC86" s="1">
        <f t="shared" si="65"/>
        <v>208269887.40332407</v>
      </c>
      <c r="AD86" s="36">
        <f t="shared" si="66"/>
        <v>57852.74650092337</v>
      </c>
      <c r="AE86" s="36">
        <f t="shared" si="28"/>
        <v>2410.5311042051403</v>
      </c>
      <c r="AG86" s="1">
        <f t="shared" si="76"/>
        <v>162000000</v>
      </c>
      <c r="AH86" s="1">
        <f t="shared" si="62"/>
        <v>162000</v>
      </c>
      <c r="AI86" s="1">
        <f t="shared" si="63"/>
        <v>162162000</v>
      </c>
      <c r="AJ86" s="1">
        <f t="shared" si="67"/>
        <v>3299137438.240334</v>
      </c>
      <c r="AK86" s="1">
        <f t="shared" si="68"/>
        <v>3302436575.6785746</v>
      </c>
      <c r="AL86" s="39">
        <f>+AJ86/('Volcano Summary'!C$8)*10^6</f>
        <v>229.03561596397626</v>
      </c>
      <c r="AM86" s="1">
        <f t="shared" si="77"/>
        <v>2410.5311042051403</v>
      </c>
    </row>
    <row r="87" spans="1:39" ht="12.75" hidden="1">
      <c r="A87" s="1">
        <f t="shared" si="64"/>
        <v>2599959.49372599</v>
      </c>
      <c r="B87" s="1">
        <f t="shared" si="60"/>
        <v>2488.5322165957596</v>
      </c>
      <c r="C87" s="1">
        <f t="shared" si="69"/>
        <v>248</v>
      </c>
      <c r="D87" s="12">
        <f t="shared" si="78"/>
        <v>17.769732893161912</v>
      </c>
      <c r="E87" s="38">
        <f t="shared" si="70"/>
        <v>187608878.48489252</v>
      </c>
      <c r="F87" s="38">
        <f t="shared" si="71"/>
        <v>120622759.46715665</v>
      </c>
      <c r="G87" s="38">
        <f t="shared" si="72"/>
        <v>53636640.44942077</v>
      </c>
      <c r="H87" s="18">
        <f t="shared" si="79"/>
        <v>0.028137733020872153</v>
      </c>
      <c r="I87" s="50">
        <f t="shared" si="87"/>
        <v>0.054916663295590536</v>
      </c>
      <c r="J87" s="3">
        <f t="shared" si="80"/>
        <v>156.02304102084557</v>
      </c>
      <c r="K87" s="12">
        <f t="shared" si="88"/>
        <v>0.9661498460649394</v>
      </c>
      <c r="L87" s="3">
        <f t="shared" si="81"/>
        <v>1526.5934140156808</v>
      </c>
      <c r="M87" s="12">
        <v>0.718</v>
      </c>
      <c r="N87" s="37">
        <f t="shared" si="82"/>
        <v>350.81314528179</v>
      </c>
      <c r="O87" s="1">
        <f t="shared" si="73"/>
        <v>15928.20029053127</v>
      </c>
      <c r="P87">
        <f t="shared" si="83"/>
        <v>126.20697401701409</v>
      </c>
      <c r="Q87" s="1">
        <f t="shared" si="84"/>
        <v>44.27506551140586</v>
      </c>
      <c r="R87" s="1">
        <f>+Q87*1000/'Material Properties'!AE$35</f>
        <v>37969.694603273696</v>
      </c>
      <c r="S87" s="1">
        <f t="shared" si="85"/>
        <v>153.1036072712649</v>
      </c>
      <c r="T87" s="1">
        <f t="shared" si="86"/>
        <v>51.6754220606806</v>
      </c>
      <c r="U87">
        <f t="shared" si="74"/>
        <v>0.00016315418238772682</v>
      </c>
      <c r="V87">
        <f>+'Material Properties'!AE$31+'Material Properties'!AE$33</f>
        <v>0.00029034311030761144</v>
      </c>
      <c r="W87">
        <f t="shared" si="61"/>
        <v>0.00045349729269533826</v>
      </c>
      <c r="X87" s="1">
        <f>+'Volcano Summary'!E$12*10^9/Q87/3600/24/365</f>
        <v>0</v>
      </c>
      <c r="Y87" s="3">
        <f t="shared" si="52"/>
        <v>4</v>
      </c>
      <c r="Z87" s="1">
        <f>+Y87*'Volcano Summary'!B$19*'Volcano Summary'!B$20/1000</f>
        <v>162000</v>
      </c>
      <c r="AA87" s="1">
        <f t="shared" si="75"/>
        <v>3658944.331957376</v>
      </c>
      <c r="AB87" s="3">
        <f t="shared" si="32"/>
        <v>1016.3734255437156</v>
      </c>
      <c r="AC87" s="1">
        <f t="shared" si="65"/>
        <v>215009183.51387355</v>
      </c>
      <c r="AD87" s="36">
        <f t="shared" si="66"/>
        <v>59724.77319829823</v>
      </c>
      <c r="AE87" s="36">
        <f t="shared" si="28"/>
        <v>2488.5322165957596</v>
      </c>
      <c r="AG87" s="1">
        <f t="shared" si="76"/>
        <v>162000000</v>
      </c>
      <c r="AH87" s="1">
        <f t="shared" si="62"/>
        <v>162000</v>
      </c>
      <c r="AI87" s="1">
        <f t="shared" si="63"/>
        <v>162162000</v>
      </c>
      <c r="AJ87" s="1">
        <f t="shared" si="67"/>
        <v>3461137438.240334</v>
      </c>
      <c r="AK87" s="1">
        <f t="shared" si="68"/>
        <v>3464598575.6785746</v>
      </c>
      <c r="AL87" s="39">
        <f>+AJ87/('Volcano Summary'!C$8)*10^6</f>
        <v>240.2821222040904</v>
      </c>
      <c r="AM87" s="1">
        <f t="shared" si="77"/>
        <v>2488.5322165957596</v>
      </c>
    </row>
    <row r="88" spans="1:39" ht="12.75" hidden="1">
      <c r="A88" s="1">
        <f>+AA58</f>
        <v>3088559.1259088293</v>
      </c>
      <c r="B88" s="1">
        <f aca="true" t="shared" si="89" ref="B88:B103">+AE88</f>
        <v>1925.150077181993</v>
      </c>
      <c r="C88" s="1">
        <f t="shared" si="69"/>
        <v>252</v>
      </c>
      <c r="D88" s="12">
        <f t="shared" si="78"/>
        <v>17.91246396432554</v>
      </c>
      <c r="E88" s="38">
        <f t="shared" si="70"/>
        <v>189115801.3152441</v>
      </c>
      <c r="F88" s="38">
        <f t="shared" si="71"/>
        <v>121591632.537392</v>
      </c>
      <c r="G88" s="38">
        <f t="shared" si="72"/>
        <v>54067463.759539865</v>
      </c>
      <c r="H88" s="18">
        <f t="shared" si="79"/>
        <v>0.02791352440377828</v>
      </c>
      <c r="I88" s="50">
        <f t="shared" si="87"/>
        <v>0.054793895374601546</v>
      </c>
      <c r="J88" s="3">
        <f t="shared" si="80"/>
        <v>154.4490735717014</v>
      </c>
      <c r="K88" s="12">
        <f t="shared" si="88"/>
        <v>0.9650218360597194</v>
      </c>
      <c r="L88" s="3">
        <f t="shared" si="81"/>
        <v>1524.8110687077285</v>
      </c>
      <c r="M88" s="12">
        <v>0.718</v>
      </c>
      <c r="N88" s="37">
        <f t="shared" si="82"/>
        <v>356.471421818593</v>
      </c>
      <c r="O88" s="1">
        <f t="shared" si="73"/>
        <v>16071.736016276014</v>
      </c>
      <c r="P88">
        <f t="shared" si="83"/>
        <v>126.77435078230933</v>
      </c>
      <c r="Q88" s="1">
        <f t="shared" si="84"/>
        <v>45.191433073498864</v>
      </c>
      <c r="R88" s="1">
        <f>+Q88*1000/'Material Properties'!AE$35</f>
        <v>38755.55897354898</v>
      </c>
      <c r="S88" s="1">
        <f t="shared" si="85"/>
        <v>153.7919006886864</v>
      </c>
      <c r="T88" s="1">
        <f t="shared" si="86"/>
        <v>53.33509153921341</v>
      </c>
      <c r="U88">
        <f t="shared" si="74"/>
        <v>0.00015816143674797617</v>
      </c>
      <c r="V88">
        <f>+'Material Properties'!AE$31+'Material Properties'!AE$33</f>
        <v>0.00029034311030761144</v>
      </c>
      <c r="W88">
        <f aca="true" t="shared" si="90" ref="W88:W103">+V88+U88</f>
        <v>0.00044850454705558764</v>
      </c>
      <c r="X88" s="1">
        <f>+'Volcano Summary'!E$12*10^9/Q88/3600/24/365</f>
        <v>0</v>
      </c>
      <c r="Y88" s="3">
        <f t="shared" si="52"/>
        <v>4</v>
      </c>
      <c r="Z88" s="1">
        <f>+Y88*'Volcano Summary'!B$19*'Volcano Summary'!B$20/1000</f>
        <v>162000</v>
      </c>
      <c r="AA88" s="1">
        <f t="shared" si="75"/>
        <v>3584750.2276930436</v>
      </c>
      <c r="AB88" s="3">
        <f t="shared" si="32"/>
        <v>995.7639521369566</v>
      </c>
      <c r="AC88" s="1">
        <f>+AC58+AA88</f>
        <v>166332966.66852415</v>
      </c>
      <c r="AD88" s="36">
        <f>+AD58+AB88</f>
        <v>46203.601852367836</v>
      </c>
      <c r="AE88" s="36">
        <f t="shared" si="28"/>
        <v>1925.150077181993</v>
      </c>
      <c r="AG88" s="1">
        <f t="shared" si="76"/>
        <v>162000000</v>
      </c>
      <c r="AH88" s="1">
        <f aca="true" t="shared" si="91" ref="AH88:AH103">+Z88</f>
        <v>162000</v>
      </c>
      <c r="AI88" s="1">
        <f aca="true" t="shared" si="92" ref="AI88:AI103">+AH88+AG88</f>
        <v>162162000</v>
      </c>
      <c r="AJ88" s="1">
        <f>+AJ58+AG88</f>
        <v>2408137438.240334</v>
      </c>
      <c r="AK88" s="1">
        <f>+AK58+AI88</f>
        <v>2410545575.6785746</v>
      </c>
      <c r="AL88" s="39">
        <f>+AJ88/('Volcano Summary'!C$8)*10^6</f>
        <v>167.1798316433484</v>
      </c>
      <c r="AM88" s="1">
        <f t="shared" si="77"/>
        <v>1925.150077181993</v>
      </c>
    </row>
    <row r="89" spans="1:39" ht="12.75" hidden="1">
      <c r="A89" s="1">
        <f aca="true" t="shared" si="93" ref="A89:A103">+AA88</f>
        <v>3584750.2276930436</v>
      </c>
      <c r="B89" s="1">
        <f t="shared" si="89"/>
        <v>1965.8119406505639</v>
      </c>
      <c r="C89" s="1">
        <f t="shared" si="69"/>
        <v>256</v>
      </c>
      <c r="D89" s="12">
        <f t="shared" si="78"/>
        <v>18.0540666735282</v>
      </c>
      <c r="E89" s="38">
        <f t="shared" si="70"/>
        <v>190610811.1515572</v>
      </c>
      <c r="F89" s="38">
        <f t="shared" si="71"/>
        <v>122552846.17153858</v>
      </c>
      <c r="G89" s="38">
        <f t="shared" si="72"/>
        <v>54494881.19151994</v>
      </c>
      <c r="H89" s="18">
        <f t="shared" si="79"/>
        <v>0.02769459142039869</v>
      </c>
      <c r="I89" s="50">
        <f t="shared" si="87"/>
        <v>0.05467359571484164</v>
      </c>
      <c r="J89" s="3">
        <f t="shared" si="80"/>
        <v>152.91628948065997</v>
      </c>
      <c r="K89" s="12">
        <f t="shared" si="88"/>
        <v>0.9639233407944731</v>
      </c>
      <c r="L89" s="3">
        <f t="shared" si="81"/>
        <v>1523.075359030723</v>
      </c>
      <c r="M89" s="12">
        <v>0.718</v>
      </c>
      <c r="N89" s="37">
        <f t="shared" si="82"/>
        <v>362.129698355396</v>
      </c>
      <c r="O89" s="1">
        <f t="shared" si="73"/>
        <v>16214.355951289548</v>
      </c>
      <c r="P89">
        <f t="shared" si="83"/>
        <v>127.33560362793098</v>
      </c>
      <c r="Q89" s="1">
        <f t="shared" si="84"/>
        <v>46.112003731684915</v>
      </c>
      <c r="R89" s="1">
        <f>+Q89*1000/'Material Properties'!AE$35</f>
        <v>39545.02786192486</v>
      </c>
      <c r="S89" s="1">
        <f t="shared" si="85"/>
        <v>154.47276508564397</v>
      </c>
      <c r="T89" s="1">
        <f t="shared" si="86"/>
        <v>54.947470672086865</v>
      </c>
      <c r="U89">
        <f t="shared" si="74"/>
        <v>0.00015359513862974857</v>
      </c>
      <c r="V89">
        <f>+'Material Properties'!AE$31+'Material Properties'!AE$33</f>
        <v>0.00029034311030761144</v>
      </c>
      <c r="W89">
        <f t="shared" si="90"/>
        <v>0.00044393824893736004</v>
      </c>
      <c r="X89" s="1">
        <f>+'Volcano Summary'!E$12*10^9/Q89/3600/24/365</f>
        <v>0</v>
      </c>
      <c r="Y89" s="3">
        <f t="shared" si="52"/>
        <v>4</v>
      </c>
      <c r="Z89" s="1">
        <f>+Y89*'Volcano Summary'!B$19*'Volcano Summary'!B$20/1000</f>
        <v>162000</v>
      </c>
      <c r="AA89" s="1">
        <f t="shared" si="75"/>
        <v>3513185.003684519</v>
      </c>
      <c r="AB89" s="3">
        <f t="shared" si="32"/>
        <v>975.8847232456997</v>
      </c>
      <c r="AC89" s="1">
        <f aca="true" t="shared" si="94" ref="AC89:AC103">+AC88+AA89</f>
        <v>169846151.67220867</v>
      </c>
      <c r="AD89" s="36">
        <f aca="true" t="shared" si="95" ref="AD89:AD103">+AD88+AB89</f>
        <v>47179.48657561353</v>
      </c>
      <c r="AE89" s="36">
        <f t="shared" si="28"/>
        <v>1965.8119406505639</v>
      </c>
      <c r="AG89" s="1">
        <f t="shared" si="76"/>
        <v>162000000.00000003</v>
      </c>
      <c r="AH89" s="1">
        <f t="shared" si="91"/>
        <v>162000</v>
      </c>
      <c r="AI89" s="1">
        <f t="shared" si="92"/>
        <v>162162000.00000003</v>
      </c>
      <c r="AJ89" s="1">
        <f aca="true" t="shared" si="96" ref="AJ89:AJ103">+AJ88+AG89</f>
        <v>2570137438.240334</v>
      </c>
      <c r="AK89" s="1">
        <f aca="true" t="shared" si="97" ref="AK89:AK103">+AK88+AI89</f>
        <v>2572707575.6785746</v>
      </c>
      <c r="AL89" s="39">
        <f>+AJ89/('Volcano Summary'!C$8)*10^6</f>
        <v>178.42633788346254</v>
      </c>
      <c r="AM89" s="1">
        <f t="shared" si="77"/>
        <v>1965.8119406505639</v>
      </c>
    </row>
    <row r="90" spans="1:39" ht="12.75" hidden="1">
      <c r="A90" s="1">
        <f t="shared" si="93"/>
        <v>3513185.003684519</v>
      </c>
      <c r="B90" s="1">
        <f t="shared" si="89"/>
        <v>2005.6744047363254</v>
      </c>
      <c r="C90" s="1">
        <f t="shared" si="69"/>
        <v>260</v>
      </c>
      <c r="D90" s="12">
        <f t="shared" si="78"/>
        <v>18.19456736586892</v>
      </c>
      <c r="E90" s="38">
        <f t="shared" si="70"/>
        <v>192094186.13951424</v>
      </c>
      <c r="F90" s="38">
        <f t="shared" si="71"/>
        <v>123506579.20281589</v>
      </c>
      <c r="G90" s="38">
        <f t="shared" si="72"/>
        <v>54918972.26611757</v>
      </c>
      <c r="H90" s="18">
        <f t="shared" si="79"/>
        <v>0.027480730371085768</v>
      </c>
      <c r="I90" s="50">
        <f t="shared" si="87"/>
        <v>0.05455567614126501</v>
      </c>
      <c r="J90" s="3">
        <f t="shared" si="80"/>
        <v>151.42298262503806</v>
      </c>
      <c r="K90" s="12">
        <f t="shared" si="88"/>
        <v>0.962853137547944</v>
      </c>
      <c r="L90" s="3">
        <f t="shared" si="81"/>
        <v>1521.3843529880642</v>
      </c>
      <c r="M90" s="12">
        <v>0.718</v>
      </c>
      <c r="N90" s="37">
        <f t="shared" si="82"/>
        <v>367.7879748921991</v>
      </c>
      <c r="O90" s="1">
        <f t="shared" si="73"/>
        <v>16356.079435334164</v>
      </c>
      <c r="P90">
        <f t="shared" si="83"/>
        <v>127.89088878936671</v>
      </c>
      <c r="Q90" s="1">
        <f t="shared" si="84"/>
        <v>47.03673099500463</v>
      </c>
      <c r="R90" s="1">
        <f>+Q90*1000/'Material Properties'!AE$35</f>
        <v>40338.06139838627</v>
      </c>
      <c r="S90" s="1">
        <f t="shared" si="85"/>
        <v>155.14638999379335</v>
      </c>
      <c r="T90" s="1">
        <f t="shared" si="86"/>
        <v>56.51465529715779</v>
      </c>
      <c r="U90">
        <f t="shared" si="74"/>
        <v>0.0001494026212576536</v>
      </c>
      <c r="V90">
        <f>+'Material Properties'!AE$31+'Material Properties'!AE$33</f>
        <v>0.00029034311030761144</v>
      </c>
      <c r="W90">
        <f t="shared" si="90"/>
        <v>0.00043974573156526503</v>
      </c>
      <c r="X90" s="1">
        <f>+'Volcano Summary'!E$12*10^9/Q90/3600/24/365</f>
        <v>0</v>
      </c>
      <c r="Y90" s="3">
        <f aca="true" t="shared" si="98" ref="Y90:Y103">+C91-C90</f>
        <v>4</v>
      </c>
      <c r="Z90" s="1">
        <f>+Y90*'Volcano Summary'!B$19*'Volcano Summary'!B$20/1000</f>
        <v>162000</v>
      </c>
      <c r="AA90" s="1">
        <f t="shared" si="75"/>
        <v>3444116.8970097993</v>
      </c>
      <c r="AB90" s="3">
        <f t="shared" si="32"/>
        <v>956.6991380582775</v>
      </c>
      <c r="AC90" s="1">
        <f t="shared" si="94"/>
        <v>173290268.56921846</v>
      </c>
      <c r="AD90" s="36">
        <f t="shared" si="95"/>
        <v>48136.18571367181</v>
      </c>
      <c r="AE90" s="36">
        <f t="shared" si="28"/>
        <v>2005.6744047363254</v>
      </c>
      <c r="AG90" s="1">
        <f t="shared" si="76"/>
        <v>162000000</v>
      </c>
      <c r="AH90" s="1">
        <f t="shared" si="91"/>
        <v>162000</v>
      </c>
      <c r="AI90" s="1">
        <f t="shared" si="92"/>
        <v>162162000</v>
      </c>
      <c r="AJ90" s="1">
        <f t="shared" si="96"/>
        <v>2732137438.240334</v>
      </c>
      <c r="AK90" s="1">
        <f t="shared" si="97"/>
        <v>2734869575.6785746</v>
      </c>
      <c r="AL90" s="39">
        <f>+AJ90/('Volcano Summary'!C$8)*10^6</f>
        <v>189.6728441235767</v>
      </c>
      <c r="AM90" s="1">
        <f t="shared" si="77"/>
        <v>2005.6744047363254</v>
      </c>
    </row>
    <row r="91" spans="1:39" ht="12.75" hidden="1">
      <c r="A91" s="1">
        <f t="shared" si="93"/>
        <v>3444116.8970097993</v>
      </c>
      <c r="B91" s="1">
        <f t="shared" si="89"/>
        <v>2044.7649444025944</v>
      </c>
      <c r="C91" s="1">
        <f t="shared" si="69"/>
        <v>264</v>
      </c>
      <c r="D91" s="12">
        <f t="shared" si="78"/>
        <v>18.333991376950163</v>
      </c>
      <c r="E91" s="38">
        <f t="shared" si="70"/>
        <v>193566193.7667579</v>
      </c>
      <c r="F91" s="38">
        <f t="shared" si="71"/>
        <v>124453003.6118778</v>
      </c>
      <c r="G91" s="38">
        <f t="shared" si="72"/>
        <v>55339813.45699773</v>
      </c>
      <c r="H91" s="18">
        <f t="shared" si="79"/>
        <v>0.027271748400002488</v>
      </c>
      <c r="I91" s="50">
        <f t="shared" si="87"/>
        <v>0.054440052949745465</v>
      </c>
      <c r="J91" s="3">
        <f t="shared" si="80"/>
        <v>149.96754269282715</v>
      </c>
      <c r="K91" s="12">
        <f t="shared" si="88"/>
        <v>0.9618100722631928</v>
      </c>
      <c r="L91" s="3">
        <f t="shared" si="81"/>
        <v>1519.7362270782223</v>
      </c>
      <c r="M91" s="12">
        <v>0.718</v>
      </c>
      <c r="N91" s="37">
        <f t="shared" si="82"/>
        <v>373.44625142900213</v>
      </c>
      <c r="O91" s="1">
        <f t="shared" si="73"/>
        <v>16496.92511294839</v>
      </c>
      <c r="P91">
        <f t="shared" si="83"/>
        <v>128.4403562473586</v>
      </c>
      <c r="Q91" s="1">
        <f t="shared" si="84"/>
        <v>47.96556957278169</v>
      </c>
      <c r="R91" s="1">
        <f>+Q91*1000/'Material Properties'!AE$35</f>
        <v>41134.62074226456</v>
      </c>
      <c r="S91" s="1">
        <f t="shared" si="85"/>
        <v>155.81295735706271</v>
      </c>
      <c r="T91" s="1">
        <f t="shared" si="86"/>
        <v>58.0386166911253</v>
      </c>
      <c r="U91">
        <f t="shared" si="74"/>
        <v>0.00014553955422729866</v>
      </c>
      <c r="V91">
        <f>+'Material Properties'!AE$31+'Material Properties'!AE$33</f>
        <v>0.00029034311030761144</v>
      </c>
      <c r="W91">
        <f t="shared" si="90"/>
        <v>0.00043588266453491013</v>
      </c>
      <c r="X91" s="1">
        <f>+'Volcano Summary'!E$12*10^9/Q91/3600/24/365</f>
        <v>0</v>
      </c>
      <c r="Y91" s="3">
        <f t="shared" si="98"/>
        <v>4</v>
      </c>
      <c r="Z91" s="1">
        <f>+Y91*'Volcano Summary'!B$19*'Volcano Summary'!B$20/1000</f>
        <v>162000</v>
      </c>
      <c r="AA91" s="1">
        <f t="shared" si="75"/>
        <v>3377422.627165627</v>
      </c>
      <c r="AB91" s="3">
        <f t="shared" si="32"/>
        <v>938.172951990452</v>
      </c>
      <c r="AC91" s="1">
        <f t="shared" si="94"/>
        <v>176667691.19638407</v>
      </c>
      <c r="AD91" s="36">
        <f t="shared" si="95"/>
        <v>49074.358665662265</v>
      </c>
      <c r="AE91" s="36">
        <f t="shared" si="28"/>
        <v>2044.7649444025944</v>
      </c>
      <c r="AG91" s="1">
        <f t="shared" si="76"/>
        <v>162000000</v>
      </c>
      <c r="AH91" s="1">
        <f t="shared" si="91"/>
        <v>162000</v>
      </c>
      <c r="AI91" s="1">
        <f t="shared" si="92"/>
        <v>162162000</v>
      </c>
      <c r="AJ91" s="1">
        <f t="shared" si="96"/>
        <v>2894137438.240334</v>
      </c>
      <c r="AK91" s="1">
        <f t="shared" si="97"/>
        <v>2897031575.6785746</v>
      </c>
      <c r="AL91" s="39">
        <f>+AJ91/('Volcano Summary'!C$8)*10^6</f>
        <v>200.91935036369085</v>
      </c>
      <c r="AM91" s="1">
        <f t="shared" si="77"/>
        <v>2044.7649444025944</v>
      </c>
    </row>
    <row r="92" spans="1:39" ht="12.75" hidden="1">
      <c r="A92" s="1">
        <f t="shared" si="93"/>
        <v>3377422.627165627</v>
      </c>
      <c r="B92" s="1">
        <f t="shared" si="89"/>
        <v>2083.109698252134</v>
      </c>
      <c r="C92" s="1">
        <f t="shared" si="69"/>
        <v>268</v>
      </c>
      <c r="D92" s="12">
        <f t="shared" si="78"/>
        <v>18.47236308621676</v>
      </c>
      <c r="E92" s="38">
        <f t="shared" si="70"/>
        <v>195027091.4260319</v>
      </c>
      <c r="F92" s="38">
        <f t="shared" si="71"/>
        <v>125392284.88888267</v>
      </c>
      <c r="G92" s="38">
        <f t="shared" si="72"/>
        <v>55757478.351733446</v>
      </c>
      <c r="H92" s="18">
        <f t="shared" si="79"/>
        <v>0.027067462764040047</v>
      </c>
      <c r="I92" s="50">
        <f t="shared" si="87"/>
        <v>0.05432664661572173</v>
      </c>
      <c r="J92" s="3">
        <f t="shared" si="80"/>
        <v>148.54844843662102</v>
      </c>
      <c r="K92" s="12">
        <f t="shared" si="88"/>
        <v>0.9607930547129118</v>
      </c>
      <c r="L92" s="3">
        <f t="shared" si="81"/>
        <v>1518.1292586555485</v>
      </c>
      <c r="M92" s="12">
        <v>0.718</v>
      </c>
      <c r="N92" s="37">
        <f t="shared" si="82"/>
        <v>379.1045279658052</v>
      </c>
      <c r="O92" s="1">
        <f t="shared" si="73"/>
        <v>16636.910968476066</v>
      </c>
      <c r="P92">
        <f t="shared" si="83"/>
        <v>128.9841500668825</v>
      </c>
      <c r="Q92" s="1">
        <f t="shared" si="84"/>
        <v>48.89847532617607</v>
      </c>
      <c r="R92" s="1">
        <f>+Q92*1000/'Material Properties'!AE$35</f>
        <v>41934.668040690274</v>
      </c>
      <c r="S92" s="1">
        <f t="shared" si="85"/>
        <v>156.47264194287416</v>
      </c>
      <c r="T92" s="1">
        <f t="shared" si="86"/>
        <v>59.52121078283585</v>
      </c>
      <c r="U92">
        <f t="shared" si="74"/>
        <v>0.0001419683566228164</v>
      </c>
      <c r="V92">
        <f>+'Material Properties'!AE$31+'Material Properties'!AE$33</f>
        <v>0.00029034311030761144</v>
      </c>
      <c r="W92">
        <f t="shared" si="90"/>
        <v>0.0004323114669304278</v>
      </c>
      <c r="X92" s="1">
        <f>+'Volcano Summary'!E$12*10^9/Q92/3600/24/365</f>
        <v>0</v>
      </c>
      <c r="Y92" s="3">
        <f t="shared" si="98"/>
        <v>4</v>
      </c>
      <c r="Z92" s="1">
        <f>+Y92*'Volcano Summary'!B$19*'Volcano Summary'!B$20/1000</f>
        <v>162000</v>
      </c>
      <c r="AA92" s="1">
        <f t="shared" si="75"/>
        <v>3312986.7326002093</v>
      </c>
      <c r="AB92" s="3">
        <f t="shared" si="32"/>
        <v>920.274092388947</v>
      </c>
      <c r="AC92" s="1">
        <f t="shared" si="94"/>
        <v>179980677.92898428</v>
      </c>
      <c r="AD92" s="36">
        <f t="shared" si="95"/>
        <v>49994.632758051215</v>
      </c>
      <c r="AE92" s="36">
        <f t="shared" si="28"/>
        <v>2083.109698252134</v>
      </c>
      <c r="AG92" s="1">
        <f t="shared" si="76"/>
        <v>162000000</v>
      </c>
      <c r="AH92" s="1">
        <f t="shared" si="91"/>
        <v>162000</v>
      </c>
      <c r="AI92" s="1">
        <f t="shared" si="92"/>
        <v>162162000</v>
      </c>
      <c r="AJ92" s="1">
        <f t="shared" si="96"/>
        <v>3056137438.240334</v>
      </c>
      <c r="AK92" s="1">
        <f t="shared" si="97"/>
        <v>3059193575.6785746</v>
      </c>
      <c r="AL92" s="39">
        <f>+AJ92/('Volcano Summary'!C$8)*10^6</f>
        <v>212.165856603805</v>
      </c>
      <c r="AM92" s="1">
        <f t="shared" si="77"/>
        <v>2083.109698252134</v>
      </c>
    </row>
    <row r="93" spans="1:39" ht="12.75" hidden="1">
      <c r="A93" s="1">
        <f t="shared" si="93"/>
        <v>3312986.7326002093</v>
      </c>
      <c r="B93" s="1">
        <f t="shared" si="89"/>
        <v>2120.7335520491133</v>
      </c>
      <c r="C93" s="1">
        <f t="shared" si="69"/>
        <v>272</v>
      </c>
      <c r="D93" s="12">
        <f t="shared" si="78"/>
        <v>18.609705966725112</v>
      </c>
      <c r="E93" s="38">
        <f t="shared" si="70"/>
        <v>196477126.94063276</v>
      </c>
      <c r="F93" s="38">
        <f t="shared" si="71"/>
        <v>126324582.37133162</v>
      </c>
      <c r="G93" s="38">
        <f t="shared" si="72"/>
        <v>56172037.802030474</v>
      </c>
      <c r="H93" s="18">
        <f t="shared" si="79"/>
        <v>0.026867700161089043</v>
      </c>
      <c r="I93" s="50">
        <f t="shared" si="87"/>
        <v>0.05421538152590641</v>
      </c>
      <c r="J93" s="3">
        <f t="shared" si="80"/>
        <v>147.16426149570992</v>
      </c>
      <c r="K93" s="12">
        <f t="shared" si="88"/>
        <v>0.9598010540719255</v>
      </c>
      <c r="L93" s="3">
        <f t="shared" si="81"/>
        <v>1516.5618189344773</v>
      </c>
      <c r="M93" s="12">
        <v>0.718</v>
      </c>
      <c r="N93" s="37">
        <f t="shared" si="82"/>
        <v>384.7628045026083</v>
      </c>
      <c r="O93" s="1">
        <f t="shared" si="73"/>
        <v>16776.054358838956</v>
      </c>
      <c r="P93">
        <f t="shared" si="83"/>
        <v>129.52240871308314</v>
      </c>
      <c r="Q93" s="1">
        <f t="shared" si="84"/>
        <v>49.83540522237893</v>
      </c>
      <c r="R93" s="1">
        <f>+Q93*1000/'Material Properties'!AE$35</f>
        <v>42738.16638931124</v>
      </c>
      <c r="S93" s="1">
        <f t="shared" si="85"/>
        <v>157.125611725409</v>
      </c>
      <c r="T93" s="1">
        <f t="shared" si="86"/>
        <v>60.964186555929246</v>
      </c>
      <c r="U93">
        <f t="shared" si="74"/>
        <v>0.00013865695934181597</v>
      </c>
      <c r="V93">
        <f>+'Material Properties'!AE$31+'Material Properties'!AE$33</f>
        <v>0.00029034311030761144</v>
      </c>
      <c r="W93">
        <f t="shared" si="90"/>
        <v>0.0004290000696494274</v>
      </c>
      <c r="X93" s="1">
        <f>+'Volcano Summary'!E$12*10^9/Q93/3600/24/365</f>
        <v>0</v>
      </c>
      <c r="Y93" s="3">
        <f t="shared" si="98"/>
        <v>4</v>
      </c>
      <c r="Z93" s="1">
        <f>+Y93*'Volcano Summary'!B$19*'Volcano Summary'!B$20/1000</f>
        <v>162000</v>
      </c>
      <c r="AA93" s="1">
        <f t="shared" si="75"/>
        <v>3250700.968059005</v>
      </c>
      <c r="AB93" s="3">
        <f t="shared" si="32"/>
        <v>902.9724911275015</v>
      </c>
      <c r="AC93" s="1">
        <f t="shared" si="94"/>
        <v>183231378.8970433</v>
      </c>
      <c r="AD93" s="36">
        <f t="shared" si="95"/>
        <v>50897.60524917872</v>
      </c>
      <c r="AE93" s="36">
        <f t="shared" si="28"/>
        <v>2120.7335520491133</v>
      </c>
      <c r="AG93" s="1">
        <f t="shared" si="76"/>
        <v>162000000</v>
      </c>
      <c r="AH93" s="1">
        <f t="shared" si="91"/>
        <v>162000</v>
      </c>
      <c r="AI93" s="1">
        <f t="shared" si="92"/>
        <v>162162000</v>
      </c>
      <c r="AJ93" s="1">
        <f t="shared" si="96"/>
        <v>3218137438.240334</v>
      </c>
      <c r="AK93" s="1">
        <f t="shared" si="97"/>
        <v>3221355575.6785746</v>
      </c>
      <c r="AL93" s="39">
        <f>+AJ93/('Volcano Summary'!C$8)*10^6</f>
        <v>223.41236284391917</v>
      </c>
      <c r="AM93" s="1">
        <f t="shared" si="77"/>
        <v>2120.7335520491133</v>
      </c>
    </row>
    <row r="94" spans="1:39" ht="12.75" hidden="1">
      <c r="A94" s="1">
        <f t="shared" si="93"/>
        <v>3250700.968059005</v>
      </c>
      <c r="B94" s="1">
        <f t="shared" si="89"/>
        <v>2157.660215896049</v>
      </c>
      <c r="C94" s="1">
        <f t="shared" si="69"/>
        <v>276</v>
      </c>
      <c r="D94" s="12">
        <f t="shared" si="78"/>
        <v>18.746042631630413</v>
      </c>
      <c r="E94" s="38">
        <f t="shared" si="70"/>
        <v>197916539.055212</v>
      </c>
      <c r="F94" s="38">
        <f t="shared" si="71"/>
        <v>127250049.55962883</v>
      </c>
      <c r="G94" s="38">
        <f t="shared" si="72"/>
        <v>56583560.06404562</v>
      </c>
      <c r="H94" s="18">
        <f t="shared" si="79"/>
        <v>0.026672296112052164</v>
      </c>
      <c r="I94" s="50">
        <f t="shared" si="87"/>
        <v>0.05410618573092022</v>
      </c>
      <c r="J94" s="3">
        <f t="shared" si="80"/>
        <v>145.8136207308796</v>
      </c>
      <c r="K94" s="12">
        <f t="shared" si="88"/>
        <v>0.9588330948571304</v>
      </c>
      <c r="L94" s="3">
        <f t="shared" si="81"/>
        <v>1515.0323665743074</v>
      </c>
      <c r="M94" s="12">
        <v>0.718</v>
      </c>
      <c r="N94" s="37">
        <f t="shared" si="82"/>
        <v>390.42108103941143</v>
      </c>
      <c r="O94" s="1">
        <f t="shared" si="73"/>
        <v>16914.372044228727</v>
      </c>
      <c r="P94">
        <f t="shared" si="83"/>
        <v>130.05526534603945</v>
      </c>
      <c r="Q94" s="1">
        <f t="shared" si="84"/>
        <v>50.77631729126823</v>
      </c>
      <c r="R94" s="1">
        <f>+Q94*1000/'Material Properties'!AE$35</f>
        <v>43545.07979512105</v>
      </c>
      <c r="S94" s="1">
        <f t="shared" si="85"/>
        <v>157.7720282431922</v>
      </c>
      <c r="T94" s="1">
        <f t="shared" si="86"/>
        <v>62.369193723141734</v>
      </c>
      <c r="U94">
        <f t="shared" si="74"/>
        <v>0.00013557783014488603</v>
      </c>
      <c r="V94">
        <f>+'Material Properties'!AE$31+'Material Properties'!AE$33</f>
        <v>0.00029034311030761144</v>
      </c>
      <c r="W94">
        <f t="shared" si="90"/>
        <v>0.00042592094045249744</v>
      </c>
      <c r="X94" s="1">
        <f>+'Volcano Summary'!E$12*10^9/Q94/3600/24/365</f>
        <v>0</v>
      </c>
      <c r="Y94" s="3">
        <f t="shared" si="98"/>
        <v>4</v>
      </c>
      <c r="Z94" s="1">
        <f>+Y94*'Volcano Summary'!B$19*'Volcano Summary'!B$20/1000</f>
        <v>162000</v>
      </c>
      <c r="AA94" s="1">
        <f t="shared" si="75"/>
        <v>3190463.7563752267</v>
      </c>
      <c r="AB94" s="3">
        <f t="shared" si="32"/>
        <v>886.2399323264518</v>
      </c>
      <c r="AC94" s="1">
        <f t="shared" si="94"/>
        <v>186421842.6534185</v>
      </c>
      <c r="AD94" s="36">
        <f t="shared" si="95"/>
        <v>51783.845181505174</v>
      </c>
      <c r="AE94" s="36">
        <f t="shared" si="28"/>
        <v>2157.660215896049</v>
      </c>
      <c r="AG94" s="1">
        <f t="shared" si="76"/>
        <v>162000000</v>
      </c>
      <c r="AH94" s="1">
        <f t="shared" si="91"/>
        <v>162000</v>
      </c>
      <c r="AI94" s="1">
        <f t="shared" si="92"/>
        <v>162162000</v>
      </c>
      <c r="AJ94" s="1">
        <f t="shared" si="96"/>
        <v>3380137438.240334</v>
      </c>
      <c r="AK94" s="1">
        <f t="shared" si="97"/>
        <v>3383517575.6785746</v>
      </c>
      <c r="AL94" s="39">
        <f>+AJ94/('Volcano Summary'!C$8)*10^6</f>
        <v>234.65886908403334</v>
      </c>
      <c r="AM94" s="1">
        <f t="shared" si="77"/>
        <v>2157.660215896049</v>
      </c>
    </row>
    <row r="95" spans="1:39" ht="12.75" hidden="1">
      <c r="A95" s="1">
        <f t="shared" si="93"/>
        <v>3190463.7563752267</v>
      </c>
      <c r="B95" s="1">
        <f t="shared" si="89"/>
        <v>2193.9122956308215</v>
      </c>
      <c r="C95" s="1">
        <f t="shared" si="69"/>
        <v>280</v>
      </c>
      <c r="D95" s="12">
        <f t="shared" si="78"/>
        <v>18.881394877652593</v>
      </c>
      <c r="E95" s="38">
        <f t="shared" si="70"/>
        <v>199345557.89467946</v>
      </c>
      <c r="F95" s="38">
        <f t="shared" si="71"/>
        <v>128168834.41213246</v>
      </c>
      <c r="G95" s="38">
        <f t="shared" si="72"/>
        <v>56992110.929585464</v>
      </c>
      <c r="H95" s="18">
        <f t="shared" si="79"/>
        <v>0.026481094391589882</v>
      </c>
      <c r="I95" s="50">
        <f t="shared" si="87"/>
        <v>0.05399899071693935</v>
      </c>
      <c r="J95" s="3">
        <f t="shared" si="80"/>
        <v>144.49523702258568</v>
      </c>
      <c r="K95" s="12">
        <f t="shared" si="88"/>
        <v>0.9578882531995199</v>
      </c>
      <c r="L95" s="3">
        <f t="shared" si="81"/>
        <v>1513.5394417887053</v>
      </c>
      <c r="M95" s="12">
        <v>0.718</v>
      </c>
      <c r="N95" s="37">
        <f t="shared" si="82"/>
        <v>396.0793575762145</v>
      </c>
      <c r="O95" s="1">
        <f t="shared" si="73"/>
        <v>17051.88021687869</v>
      </c>
      <c r="P95">
        <f t="shared" si="83"/>
        <v>130.58284809606005</v>
      </c>
      <c r="Q95" s="1">
        <f t="shared" si="84"/>
        <v>51.72117058435987</v>
      </c>
      <c r="R95" s="1">
        <f>+Q95*1000/'Material Properties'!AE$35</f>
        <v>44355.37314125613</v>
      </c>
      <c r="S95" s="1">
        <f t="shared" si="85"/>
        <v>158.4120469330576</v>
      </c>
      <c r="T95" s="1">
        <f t="shared" si="86"/>
        <v>63.737789745146074</v>
      </c>
      <c r="U95">
        <f t="shared" si="74"/>
        <v>0.00013270719858802333</v>
      </c>
      <c r="V95">
        <f>+'Material Properties'!AE$31+'Material Properties'!AE$33</f>
        <v>0.00029034311030761144</v>
      </c>
      <c r="W95">
        <f t="shared" si="90"/>
        <v>0.0004230503088956348</v>
      </c>
      <c r="X95" s="1">
        <f>+'Volcano Summary'!E$12*10^9/Q95/3600/24/365</f>
        <v>0</v>
      </c>
      <c r="Y95" s="3">
        <f t="shared" si="98"/>
        <v>4</v>
      </c>
      <c r="Z95" s="1">
        <f>+Y95*'Volcano Summary'!B$19*'Volcano Summary'!B$20/1000</f>
        <v>162000</v>
      </c>
      <c r="AA95" s="1">
        <f t="shared" si="75"/>
        <v>3132179.6890843706</v>
      </c>
      <c r="AB95" s="3">
        <f t="shared" si="32"/>
        <v>870.0499136345474</v>
      </c>
      <c r="AC95" s="1">
        <f t="shared" si="94"/>
        <v>189554022.3425029</v>
      </c>
      <c r="AD95" s="36">
        <f t="shared" si="95"/>
        <v>52653.89509513972</v>
      </c>
      <c r="AE95" s="36">
        <f t="shared" si="28"/>
        <v>2193.9122956308215</v>
      </c>
      <c r="AG95" s="1">
        <f t="shared" si="76"/>
        <v>162000000</v>
      </c>
      <c r="AH95" s="1">
        <f t="shared" si="91"/>
        <v>162000</v>
      </c>
      <c r="AI95" s="1">
        <f t="shared" si="92"/>
        <v>162162000</v>
      </c>
      <c r="AJ95" s="1">
        <f t="shared" si="96"/>
        <v>3542137438.240334</v>
      </c>
      <c r="AK95" s="1">
        <f t="shared" si="97"/>
        <v>3545679575.6785746</v>
      </c>
      <c r="AL95" s="39">
        <f>+AJ95/('Volcano Summary'!C$8)*10^6</f>
        <v>245.9053753241475</v>
      </c>
      <c r="AM95" s="1">
        <f t="shared" si="77"/>
        <v>2193.9122956308215</v>
      </c>
    </row>
    <row r="96" spans="1:39" ht="12.75" hidden="1">
      <c r="A96" s="1">
        <f t="shared" si="93"/>
        <v>3132179.6890843706</v>
      </c>
      <c r="B96" s="1">
        <f t="shared" si="89"/>
        <v>2229.511358951341</v>
      </c>
      <c r="C96" s="1">
        <f t="shared" si="69"/>
        <v>284</v>
      </c>
      <c r="D96" s="12">
        <f t="shared" si="78"/>
        <v>19.015783725757565</v>
      </c>
      <c r="E96" s="38">
        <f t="shared" si="70"/>
        <v>200764405.393707</v>
      </c>
      <c r="F96" s="38">
        <f t="shared" si="71"/>
        <v>129081079.6213034</v>
      </c>
      <c r="G96" s="38">
        <f t="shared" si="72"/>
        <v>57397753.848899804</v>
      </c>
      <c r="H96" s="18">
        <f t="shared" si="79"/>
        <v>0.026293946503121612</v>
      </c>
      <c r="I96" s="50">
        <f t="shared" si="87"/>
        <v>0.05389373119464352</v>
      </c>
      <c r="J96" s="3">
        <f t="shared" si="80"/>
        <v>143.2078884885573</v>
      </c>
      <c r="K96" s="12">
        <f t="shared" si="88"/>
        <v>0.9569656534167995</v>
      </c>
      <c r="L96" s="3">
        <f t="shared" si="81"/>
        <v>1512.081660930167</v>
      </c>
      <c r="M96" s="12">
        <v>0.718</v>
      </c>
      <c r="N96" s="37">
        <f t="shared" si="82"/>
        <v>401.7376341130176</v>
      </c>
      <c r="O96" s="1">
        <f t="shared" si="73"/>
        <v>17188.5945280607</v>
      </c>
      <c r="P96">
        <f t="shared" si="83"/>
        <v>131.10528032104847</v>
      </c>
      <c r="Q96" s="1">
        <f t="shared" si="84"/>
        <v>52.66992513590198</v>
      </c>
      <c r="R96" s="1">
        <f>+Q96*1000/'Material Properties'!AE$35</f>
        <v>45169.012153630705</v>
      </c>
      <c r="S96" s="1">
        <f t="shared" si="85"/>
        <v>159.04581744236162</v>
      </c>
      <c r="T96" s="1">
        <f t="shared" si="86"/>
        <v>65.07144625857018</v>
      </c>
      <c r="U96">
        <f t="shared" si="74"/>
        <v>0.00013002443460735356</v>
      </c>
      <c r="V96">
        <f>+'Material Properties'!AE$31+'Material Properties'!AE$33</f>
        <v>0.00029034311030761144</v>
      </c>
      <c r="W96">
        <f t="shared" si="90"/>
        <v>0.000420367544914965</v>
      </c>
      <c r="X96" s="1">
        <f>+'Volcano Summary'!E$12*10^9/Q96/3600/24/365</f>
        <v>0</v>
      </c>
      <c r="Y96" s="3">
        <f t="shared" si="98"/>
        <v>4</v>
      </c>
      <c r="Z96" s="1">
        <f>+Y96*'Volcano Summary'!B$19*'Volcano Summary'!B$20/1000</f>
        <v>162000</v>
      </c>
      <c r="AA96" s="1">
        <f t="shared" si="75"/>
        <v>3075759.0708928914</v>
      </c>
      <c r="AB96" s="3">
        <f t="shared" si="32"/>
        <v>854.3775196924698</v>
      </c>
      <c r="AC96" s="1">
        <f t="shared" si="94"/>
        <v>192629781.4133958</v>
      </c>
      <c r="AD96" s="36">
        <f t="shared" si="95"/>
        <v>53508.27261483219</v>
      </c>
      <c r="AE96" s="36">
        <f t="shared" si="28"/>
        <v>2229.511358951341</v>
      </c>
      <c r="AG96" s="1">
        <f t="shared" si="76"/>
        <v>162000000</v>
      </c>
      <c r="AH96" s="1">
        <f t="shared" si="91"/>
        <v>162000</v>
      </c>
      <c r="AI96" s="1">
        <f t="shared" si="92"/>
        <v>162162000</v>
      </c>
      <c r="AJ96" s="1">
        <f t="shared" si="96"/>
        <v>3704137438.240334</v>
      </c>
      <c r="AK96" s="1">
        <f t="shared" si="97"/>
        <v>3707841575.6785746</v>
      </c>
      <c r="AL96" s="39">
        <f>+AJ96/('Volcano Summary'!C$8)*10^6</f>
        <v>257.15188156426166</v>
      </c>
      <c r="AM96" s="1">
        <f t="shared" si="77"/>
        <v>2229.511358951341</v>
      </c>
    </row>
    <row r="97" spans="1:39" ht="12.75" hidden="1">
      <c r="A97" s="1">
        <f t="shared" si="93"/>
        <v>3075759.0708928914</v>
      </c>
      <c r="B97" s="1">
        <f t="shared" si="89"/>
        <v>2264.4779967244726</v>
      </c>
      <c r="C97" s="1">
        <f t="shared" si="69"/>
        <v>288</v>
      </c>
      <c r="D97" s="12">
        <f t="shared" si="78"/>
        <v>19.149229459268767</v>
      </c>
      <c r="E97" s="38">
        <f t="shared" si="70"/>
        <v>202173295.69910178</v>
      </c>
      <c r="F97" s="38">
        <f t="shared" si="71"/>
        <v>129986922.87241013</v>
      </c>
      <c r="G97" s="38">
        <f t="shared" si="72"/>
        <v>57800550.0457185</v>
      </c>
      <c r="H97" s="18">
        <f t="shared" si="79"/>
        <v>0.026110711194072923</v>
      </c>
      <c r="I97" s="50">
        <f t="shared" si="87"/>
        <v>0.05379034490392839</v>
      </c>
      <c r="J97" s="3">
        <f t="shared" si="80"/>
        <v>141.95041608160466</v>
      </c>
      <c r="K97" s="12">
        <f t="shared" si="88"/>
        <v>0.9560644648584834</v>
      </c>
      <c r="L97" s="3">
        <f t="shared" si="81"/>
        <v>1510.6577115050184</v>
      </c>
      <c r="M97" s="12">
        <v>0.718</v>
      </c>
      <c r="N97" s="37">
        <f t="shared" si="82"/>
        <v>407.3959106498205</v>
      </c>
      <c r="O97" s="1">
        <f t="shared" si="73"/>
        <v>17324.530113440105</v>
      </c>
      <c r="P97">
        <f t="shared" si="83"/>
        <v>131.62268084733765</v>
      </c>
      <c r="Q97" s="1">
        <f t="shared" si="84"/>
        <v>53.62254192597181</v>
      </c>
      <c r="R97" s="1">
        <f>+Q97*1000/'Material Properties'!AE$35</f>
        <v>45985.963369289195</v>
      </c>
      <c r="S97" s="1">
        <f t="shared" si="85"/>
        <v>159.67348392114303</v>
      </c>
      <c r="T97" s="1">
        <f t="shared" si="86"/>
        <v>66.37155497063168</v>
      </c>
      <c r="U97">
        <f t="shared" si="74"/>
        <v>0.00012751154635484195</v>
      </c>
      <c r="V97">
        <f>+'Material Properties'!AE$31+'Material Properties'!AE$33</f>
        <v>0.00029034311030761144</v>
      </c>
      <c r="W97">
        <f t="shared" si="90"/>
        <v>0.0004178546566624534</v>
      </c>
      <c r="X97" s="1">
        <f>+'Volcano Summary'!E$12*10^9/Q97/3600/24/365</f>
        <v>0</v>
      </c>
      <c r="Y97" s="3">
        <f t="shared" si="98"/>
        <v>4</v>
      </c>
      <c r="Z97" s="1">
        <f>+Y97*'Volcano Summary'!B$19*'Volcano Summary'!B$20/1000</f>
        <v>162000</v>
      </c>
      <c r="AA97" s="1">
        <f t="shared" si="75"/>
        <v>3021117.50359854</v>
      </c>
      <c r="AB97" s="3">
        <f t="shared" si="32"/>
        <v>839.19930655515</v>
      </c>
      <c r="AC97" s="1">
        <f t="shared" si="94"/>
        <v>195650898.91699433</v>
      </c>
      <c r="AD97" s="36">
        <f t="shared" si="95"/>
        <v>54347.47192138734</v>
      </c>
      <c r="AE97" s="36">
        <f t="shared" si="28"/>
        <v>2264.4779967244726</v>
      </c>
      <c r="AG97" s="1">
        <f t="shared" si="76"/>
        <v>162000000</v>
      </c>
      <c r="AH97" s="1">
        <f t="shared" si="91"/>
        <v>162000</v>
      </c>
      <c r="AI97" s="1">
        <f t="shared" si="92"/>
        <v>162162000</v>
      </c>
      <c r="AJ97" s="1">
        <f t="shared" si="96"/>
        <v>3866137438.240334</v>
      </c>
      <c r="AK97" s="1">
        <f t="shared" si="97"/>
        <v>3870003575.6785746</v>
      </c>
      <c r="AL97" s="39">
        <f>+AJ97/('Volcano Summary'!C$8)*10^6</f>
        <v>268.3983878043758</v>
      </c>
      <c r="AM97" s="1">
        <f t="shared" si="77"/>
        <v>2264.4779967244726</v>
      </c>
    </row>
    <row r="98" spans="1:39" ht="12.75" hidden="1">
      <c r="A98" s="1">
        <f t="shared" si="93"/>
        <v>3021117.50359854</v>
      </c>
      <c r="B98" s="1">
        <f t="shared" si="89"/>
        <v>2298.8318798906266</v>
      </c>
      <c r="C98" s="1">
        <f t="shared" si="69"/>
        <v>292</v>
      </c>
      <c r="D98" s="12">
        <f t="shared" si="78"/>
        <v>19.281751659604673</v>
      </c>
      <c r="E98" s="38">
        <f t="shared" si="70"/>
        <v>203572435.54711473</v>
      </c>
      <c r="F98" s="38">
        <f t="shared" si="71"/>
        <v>130886497.08611862</v>
      </c>
      <c r="G98" s="38">
        <f t="shared" si="72"/>
        <v>58200558.62512254</v>
      </c>
      <c r="H98" s="18">
        <f t="shared" si="79"/>
        <v>0.025931254007772617</v>
      </c>
      <c r="I98" s="50">
        <f t="shared" si="87"/>
        <v>0.05368877243300191</v>
      </c>
      <c r="J98" s="3">
        <f t="shared" si="80"/>
        <v>140.72171953256728</v>
      </c>
      <c r="K98" s="12">
        <f t="shared" si="88"/>
        <v>0.95518389899834</v>
      </c>
      <c r="L98" s="3">
        <f t="shared" si="81"/>
        <v>1509.2663475792494</v>
      </c>
      <c r="M98" s="12">
        <v>0.718</v>
      </c>
      <c r="N98" s="37">
        <f t="shared" si="82"/>
        <v>413.0541871866237</v>
      </c>
      <c r="O98" s="1">
        <f t="shared" si="73"/>
        <v>17459.70161690982</v>
      </c>
      <c r="P98">
        <f t="shared" si="83"/>
        <v>132.13516419526567</v>
      </c>
      <c r="Q98" s="1">
        <f t="shared" si="84"/>
        <v>54.57898284544653</v>
      </c>
      <c r="R98" s="1">
        <f>+Q98*1000/'Material Properties'!AE$35</f>
        <v>46806.19410636567</v>
      </c>
      <c r="S98" s="1">
        <f t="shared" si="85"/>
        <v>160.29518529577285</v>
      </c>
      <c r="T98" s="1">
        <f t="shared" si="86"/>
        <v>67.63943307151817</v>
      </c>
      <c r="U98">
        <f t="shared" si="74"/>
        <v>0.00012515277141334538</v>
      </c>
      <c r="V98">
        <f>+'Material Properties'!AE$31+'Material Properties'!AE$33</f>
        <v>0.00029034311030761144</v>
      </c>
      <c r="W98">
        <f t="shared" si="90"/>
        <v>0.0004154958817209568</v>
      </c>
      <c r="X98" s="1">
        <f>+'Volcano Summary'!E$12*10^9/Q98/3600/24/365</f>
        <v>0</v>
      </c>
      <c r="Y98" s="3">
        <f t="shared" si="98"/>
        <v>4</v>
      </c>
      <c r="Z98" s="1">
        <f>+Y98*'Volcano Summary'!B$19*'Volcano Summary'!B$20/1000</f>
        <v>162000</v>
      </c>
      <c r="AA98" s="1">
        <f t="shared" si="75"/>
        <v>2968175.505555716</v>
      </c>
      <c r="AB98" s="3">
        <f t="shared" si="32"/>
        <v>824.4931959876989</v>
      </c>
      <c r="AC98" s="1">
        <f t="shared" si="94"/>
        <v>198619074.42255005</v>
      </c>
      <c r="AD98" s="36">
        <f t="shared" si="95"/>
        <v>55171.96511737504</v>
      </c>
      <c r="AE98" s="36">
        <f t="shared" si="28"/>
        <v>2298.8318798906266</v>
      </c>
      <c r="AG98" s="1">
        <f t="shared" si="76"/>
        <v>162000000</v>
      </c>
      <c r="AH98" s="1">
        <f t="shared" si="91"/>
        <v>162000</v>
      </c>
      <c r="AI98" s="1">
        <f t="shared" si="92"/>
        <v>162162000</v>
      </c>
      <c r="AJ98" s="1">
        <f t="shared" si="96"/>
        <v>4028137438.240334</v>
      </c>
      <c r="AK98" s="1">
        <f t="shared" si="97"/>
        <v>4032165575.6785746</v>
      </c>
      <c r="AL98" s="39">
        <f>+AJ98/('Volcano Summary'!C$8)*10^6</f>
        <v>279.64489404449</v>
      </c>
      <c r="AM98" s="1">
        <f t="shared" si="77"/>
        <v>2298.8318798906266</v>
      </c>
    </row>
    <row r="99" spans="1:39" ht="12.75" hidden="1">
      <c r="A99" s="1">
        <f t="shared" si="93"/>
        <v>2968175.505555716</v>
      </c>
      <c r="B99" s="1">
        <f t="shared" si="89"/>
        <v>2332.591812335225</v>
      </c>
      <c r="C99" s="1">
        <f t="shared" si="69"/>
        <v>296</v>
      </c>
      <c r="D99" s="12">
        <f t="shared" si="78"/>
        <v>19.413369239820483</v>
      </c>
      <c r="E99" s="38">
        <f t="shared" si="70"/>
        <v>204962024.6175664</v>
      </c>
      <c r="F99" s="38">
        <f t="shared" si="71"/>
        <v>131779930.64617683</v>
      </c>
      <c r="G99" s="38">
        <f t="shared" si="72"/>
        <v>58597836.67478725</v>
      </c>
      <c r="H99" s="18">
        <f t="shared" si="79"/>
        <v>0.02575544686876947</v>
      </c>
      <c r="I99" s="50">
        <f t="shared" si="87"/>
        <v>0.05358895705062228</v>
      </c>
      <c r="J99" s="3">
        <f t="shared" si="80"/>
        <v>139.52075360700712</v>
      </c>
      <c r="K99" s="12">
        <f t="shared" si="88"/>
        <v>0.9543232067516885</v>
      </c>
      <c r="L99" s="3">
        <f t="shared" si="81"/>
        <v>1507.9063855396298</v>
      </c>
      <c r="M99" s="12">
        <v>0.718</v>
      </c>
      <c r="N99" s="37">
        <f t="shared" si="82"/>
        <v>418.71246372342665</v>
      </c>
      <c r="O99" s="1">
        <f t="shared" si="73"/>
        <v>17594.123213014085</v>
      </c>
      <c r="P99">
        <f t="shared" si="83"/>
        <v>132.64284079065138</v>
      </c>
      <c r="Q99" s="1">
        <f t="shared" si="84"/>
        <v>55.53921066272787</v>
      </c>
      <c r="R99" s="1">
        <f>+Q99*1000/'Material Properties'!AE$35</f>
        <v>47629.67243554732</v>
      </c>
      <c r="S99" s="1">
        <f t="shared" si="85"/>
        <v>160.91105552549772</v>
      </c>
      <c r="T99" s="1">
        <f t="shared" si="86"/>
        <v>68.87632821010243</v>
      </c>
      <c r="U99">
        <f t="shared" si="74"/>
        <v>0.00012293424174128533</v>
      </c>
      <c r="V99">
        <f>+'Material Properties'!AE$31+'Material Properties'!AE$33</f>
        <v>0.00029034311030761144</v>
      </c>
      <c r="W99">
        <f t="shared" si="90"/>
        <v>0.00041327735204889674</v>
      </c>
      <c r="X99" s="1">
        <f>+'Volcano Summary'!E$12*10^9/Q99/3600/24/365</f>
        <v>0</v>
      </c>
      <c r="Y99" s="3">
        <f t="shared" si="98"/>
        <v>4</v>
      </c>
      <c r="Z99" s="1">
        <f>+Y99*'Volcano Summary'!B$19*'Volcano Summary'!B$20/1000</f>
        <v>162000</v>
      </c>
      <c r="AA99" s="1">
        <f t="shared" si="75"/>
        <v>2916858.163213283</v>
      </c>
      <c r="AB99" s="3">
        <f t="shared" si="32"/>
        <v>810.2383786703564</v>
      </c>
      <c r="AC99" s="1">
        <f t="shared" si="94"/>
        <v>201535932.58576334</v>
      </c>
      <c r="AD99" s="36">
        <f t="shared" si="95"/>
        <v>55982.2034960454</v>
      </c>
      <c r="AE99" s="36">
        <f t="shared" si="28"/>
        <v>2332.591812335225</v>
      </c>
      <c r="AG99" s="1">
        <f t="shared" si="76"/>
        <v>161999999.99999997</v>
      </c>
      <c r="AH99" s="1">
        <f t="shared" si="91"/>
        <v>162000</v>
      </c>
      <c r="AI99" s="1">
        <f t="shared" si="92"/>
        <v>162161999.99999997</v>
      </c>
      <c r="AJ99" s="1">
        <f t="shared" si="96"/>
        <v>4190137438.240334</v>
      </c>
      <c r="AK99" s="1">
        <f t="shared" si="97"/>
        <v>4194327575.6785746</v>
      </c>
      <c r="AL99" s="39">
        <f>+AJ99/('Volcano Summary'!C$8)*10^6</f>
        <v>290.8914002846041</v>
      </c>
      <c r="AM99" s="1">
        <f t="shared" si="77"/>
        <v>2332.591812335225</v>
      </c>
    </row>
    <row r="100" spans="1:39" ht="12.75" hidden="1">
      <c r="A100" s="1">
        <f t="shared" si="93"/>
        <v>2916858.163213283</v>
      </c>
      <c r="B100" s="1">
        <f t="shared" si="89"/>
        <v>2365.775780062458</v>
      </c>
      <c r="C100" s="1">
        <f t="shared" si="69"/>
        <v>300</v>
      </c>
      <c r="D100" s="12">
        <f t="shared" si="78"/>
        <v>19.544100476116796</v>
      </c>
      <c r="E100" s="38">
        <f t="shared" si="70"/>
        <v>206342255.86650845</v>
      </c>
      <c r="F100" s="38">
        <f t="shared" si="71"/>
        <v>132667347.61329862</v>
      </c>
      <c r="G100" s="38">
        <f t="shared" si="72"/>
        <v>58992439.36008883</v>
      </c>
      <c r="H100" s="18">
        <f t="shared" si="79"/>
        <v>0.025583167698662212</v>
      </c>
      <c r="I100" s="50">
        <f t="shared" si="87"/>
        <v>0.05349084455035785</v>
      </c>
      <c r="J100" s="3">
        <f t="shared" si="80"/>
        <v>138.34652464748766</v>
      </c>
      <c r="K100" s="12">
        <f t="shared" si="88"/>
        <v>0.9534816759973662</v>
      </c>
      <c r="L100" s="3">
        <f t="shared" si="81"/>
        <v>1506.576700178221</v>
      </c>
      <c r="M100" s="12">
        <v>0.718</v>
      </c>
      <c r="N100" s="37">
        <f t="shared" si="82"/>
        <v>424.37074026022975</v>
      </c>
      <c r="O100" s="1">
        <f t="shared" si="73"/>
        <v>17727.80862806337</v>
      </c>
      <c r="P100">
        <f t="shared" si="83"/>
        <v>133.1458171632266</v>
      </c>
      <c r="Q100" s="1">
        <f t="shared" si="84"/>
        <v>56.50318899211168</v>
      </c>
      <c r="R100" s="1">
        <f>+Q100*1000/'Material Properties'!AE$35</f>
        <v>48456.36715294865</v>
      </c>
      <c r="S100" s="1">
        <f t="shared" si="85"/>
        <v>161.52122384316218</v>
      </c>
      <c r="T100" s="1">
        <f t="shared" si="86"/>
        <v>70.08342307370935</v>
      </c>
      <c r="U100">
        <f t="shared" si="74"/>
        <v>0.00012084370728490632</v>
      </c>
      <c r="V100">
        <f>+'Material Properties'!AE$31+'Material Properties'!AE$33</f>
        <v>0.00029034311030761144</v>
      </c>
      <c r="W100">
        <f t="shared" si="90"/>
        <v>0.0004111868175925178</v>
      </c>
      <c r="X100" s="1">
        <f>+'Volcano Summary'!E$12*10^9/Q100/3600/24/365</f>
        <v>0</v>
      </c>
      <c r="Y100" s="3">
        <f t="shared" si="98"/>
        <v>4</v>
      </c>
      <c r="Z100" s="1">
        <f>+Y100*'Volcano Summary'!B$19*'Volcano Summary'!B$20/1000</f>
        <v>162000</v>
      </c>
      <c r="AA100" s="1">
        <f t="shared" si="75"/>
        <v>2867094.8116329606</v>
      </c>
      <c r="AB100" s="3">
        <f t="shared" si="32"/>
        <v>796.4152254536002</v>
      </c>
      <c r="AC100" s="1">
        <f t="shared" si="94"/>
        <v>204403027.3973963</v>
      </c>
      <c r="AD100" s="36">
        <f t="shared" si="95"/>
        <v>56778.618721499</v>
      </c>
      <c r="AE100" s="36">
        <f t="shared" si="28"/>
        <v>2365.775780062458</v>
      </c>
      <c r="AG100" s="1">
        <f t="shared" si="76"/>
        <v>162000000</v>
      </c>
      <c r="AH100" s="1">
        <f t="shared" si="91"/>
        <v>162000</v>
      </c>
      <c r="AI100" s="1">
        <f t="shared" si="92"/>
        <v>162162000</v>
      </c>
      <c r="AJ100" s="1">
        <f t="shared" si="96"/>
        <v>4352137438.240334</v>
      </c>
      <c r="AK100" s="1">
        <f t="shared" si="97"/>
        <v>4356489575.678575</v>
      </c>
      <c r="AL100" s="39">
        <f>+AJ100/('Volcano Summary'!C$8)*10^6</f>
        <v>302.13790652471823</v>
      </c>
      <c r="AM100" s="1">
        <f t="shared" si="77"/>
        <v>2365.775780062458</v>
      </c>
    </row>
    <row r="101" spans="1:39" ht="12.75" hidden="1">
      <c r="A101" s="1">
        <f t="shared" si="93"/>
        <v>2867094.8116329606</v>
      </c>
      <c r="B101" s="1">
        <f t="shared" si="89"/>
        <v>2398.4009969748554</v>
      </c>
      <c r="C101" s="1">
        <f t="shared" si="69"/>
        <v>304</v>
      </c>
      <c r="D101" s="12">
        <f t="shared" si="78"/>
        <v>19.67396303746374</v>
      </c>
      <c r="E101" s="38">
        <f t="shared" si="70"/>
        <v>207713315.83898842</v>
      </c>
      <c r="F101" s="38">
        <f t="shared" si="71"/>
        <v>133548867.92625552</v>
      </c>
      <c r="G101" s="38">
        <f t="shared" si="72"/>
        <v>59384420.0135227</v>
      </c>
      <c r="H101" s="18">
        <f t="shared" si="79"/>
        <v>0.025414300059824514</v>
      </c>
      <c r="I101" s="50">
        <f t="shared" si="87"/>
        <v>0.05339438310585851</v>
      </c>
      <c r="J101" s="3">
        <f t="shared" si="80"/>
        <v>137.1980873761513</v>
      </c>
      <c r="K101" s="12">
        <f t="shared" si="88"/>
        <v>0.9526586292862418</v>
      </c>
      <c r="L101" s="3">
        <f t="shared" si="81"/>
        <v>1505.2762210716442</v>
      </c>
      <c r="M101" s="12">
        <v>0.718</v>
      </c>
      <c r="N101" s="37">
        <f t="shared" si="82"/>
        <v>430.02901679703274</v>
      </c>
      <c r="O101" s="1">
        <f t="shared" si="73"/>
        <v>17860.77116003275</v>
      </c>
      <c r="P101">
        <f t="shared" si="83"/>
        <v>133.6441961329887</v>
      </c>
      <c r="Q101" s="1">
        <f t="shared" si="84"/>
        <v>57.47088226369893</v>
      </c>
      <c r="R101" s="1">
        <f>+Q101*1000/'Material Properties'!AE$35</f>
        <v>49286.247754307566</v>
      </c>
      <c r="S101" s="1">
        <f t="shared" si="85"/>
        <v>162.12581498127489</v>
      </c>
      <c r="T101" s="1">
        <f t="shared" si="86"/>
        <v>71.26183960835783</v>
      </c>
      <c r="U101">
        <f t="shared" si="74"/>
        <v>0.00011887030661294977</v>
      </c>
      <c r="V101">
        <f>+'Material Properties'!AE$31+'Material Properties'!AE$33</f>
        <v>0.00029034311030761144</v>
      </c>
      <c r="W101">
        <f t="shared" si="90"/>
        <v>0.0004092134169205612</v>
      </c>
      <c r="X101" s="1">
        <f>+'Volcano Summary'!E$12*10^9/Q101/3600/24/365</f>
        <v>0</v>
      </c>
      <c r="Y101" s="3">
        <f t="shared" si="98"/>
        <v>4</v>
      </c>
      <c r="Z101" s="1">
        <f>+Y101*'Volcano Summary'!B$19*'Volcano Summary'!B$20/1000</f>
        <v>162000</v>
      </c>
      <c r="AA101" s="1">
        <f t="shared" si="75"/>
        <v>2818818.74123109</v>
      </c>
      <c r="AB101" s="3">
        <f t="shared" si="32"/>
        <v>783.005205897525</v>
      </c>
      <c r="AC101" s="1">
        <f t="shared" si="94"/>
        <v>207221846.13862738</v>
      </c>
      <c r="AD101" s="36">
        <f t="shared" si="95"/>
        <v>57561.623927396526</v>
      </c>
      <c r="AE101" s="36">
        <f t="shared" si="28"/>
        <v>2398.4009969748554</v>
      </c>
      <c r="AG101" s="1">
        <f t="shared" si="76"/>
        <v>162000000</v>
      </c>
      <c r="AH101" s="1">
        <f t="shared" si="91"/>
        <v>162000</v>
      </c>
      <c r="AI101" s="1">
        <f t="shared" si="92"/>
        <v>162162000</v>
      </c>
      <c r="AJ101" s="1">
        <f t="shared" si="96"/>
        <v>4514137438.240334</v>
      </c>
      <c r="AK101" s="1">
        <f t="shared" si="97"/>
        <v>4518651575.678575</v>
      </c>
      <c r="AL101" s="39">
        <f>+AJ101/('Volcano Summary'!C$8)*10^6</f>
        <v>313.3844127648324</v>
      </c>
      <c r="AM101" s="1">
        <f t="shared" si="77"/>
        <v>2398.4009969748554</v>
      </c>
    </row>
    <row r="102" spans="1:39" ht="12.75" hidden="1">
      <c r="A102" s="1">
        <f t="shared" si="93"/>
        <v>2818818.74123109</v>
      </c>
      <c r="B102" s="1">
        <f t="shared" si="89"/>
        <v>2430.4839475336626</v>
      </c>
      <c r="C102" s="1">
        <f t="shared" si="69"/>
        <v>308</v>
      </c>
      <c r="D102" s="12">
        <f t="shared" si="78"/>
        <v>19.802974013476614</v>
      </c>
      <c r="E102" s="38">
        <f t="shared" si="70"/>
        <v>209075384.963355</v>
      </c>
      <c r="F102" s="38">
        <f t="shared" si="71"/>
        <v>134424607.59109947</v>
      </c>
      <c r="G102" s="38">
        <f t="shared" si="72"/>
        <v>59773830.218844034</v>
      </c>
      <c r="H102" s="18">
        <f t="shared" si="79"/>
        <v>0.025248732824662223</v>
      </c>
      <c r="I102" s="50">
        <f t="shared" si="87"/>
        <v>0.0532995231362249</v>
      </c>
      <c r="J102" s="3">
        <f t="shared" si="80"/>
        <v>136.07454193484452</v>
      </c>
      <c r="K102" s="12">
        <f t="shared" si="88"/>
        <v>0.951853421719972</v>
      </c>
      <c r="L102" s="3">
        <f t="shared" si="81"/>
        <v>1504.003929229349</v>
      </c>
      <c r="M102" s="12">
        <v>0.718</v>
      </c>
      <c r="N102" s="37">
        <f t="shared" si="82"/>
        <v>435.68729333383584</v>
      </c>
      <c r="O102" s="1">
        <f t="shared" si="73"/>
        <v>17993.02369732928</v>
      </c>
      <c r="P102">
        <f t="shared" si="83"/>
        <v>134.13807698535595</v>
      </c>
      <c r="Q102" s="1">
        <f t="shared" si="84"/>
        <v>58.44225569475543</v>
      </c>
      <c r="R102" s="1">
        <f>+Q102*1000/'Material Properties'!AE$35</f>
        <v>50119.28441042382</v>
      </c>
      <c r="S102" s="1">
        <f t="shared" si="85"/>
        <v>162.7249493844929</v>
      </c>
      <c r="T102" s="1">
        <f t="shared" si="86"/>
        <v>72.41264291211064</v>
      </c>
      <c r="U102">
        <f t="shared" si="74"/>
        <v>0.00011700437549746281</v>
      </c>
      <c r="V102">
        <f>+'Material Properties'!AE$31+'Material Properties'!AE$33</f>
        <v>0.00029034311030761144</v>
      </c>
      <c r="W102">
        <f t="shared" si="90"/>
        <v>0.00040734748580507424</v>
      </c>
      <c r="X102" s="1">
        <f>+'Volcano Summary'!E$12*10^9/Q102/3600/24/365</f>
        <v>0</v>
      </c>
      <c r="Y102" s="3">
        <f t="shared" si="98"/>
        <v>4</v>
      </c>
      <c r="Z102" s="1">
        <f>+Y102*'Volcano Summary'!B$19*'Volcano Summary'!B$20/1000</f>
        <v>162000</v>
      </c>
      <c r="AA102" s="1">
        <f t="shared" si="75"/>
        <v>2771966.9282809314</v>
      </c>
      <c r="AB102" s="3">
        <f t="shared" si="32"/>
        <v>769.9908134113698</v>
      </c>
      <c r="AC102" s="1">
        <f t="shared" si="94"/>
        <v>209993813.0669083</v>
      </c>
      <c r="AD102" s="36">
        <f t="shared" si="95"/>
        <v>58331.6147408079</v>
      </c>
      <c r="AE102" s="36">
        <f t="shared" si="28"/>
        <v>2430.4839475336626</v>
      </c>
      <c r="AG102" s="1">
        <f t="shared" si="76"/>
        <v>161999999.99999997</v>
      </c>
      <c r="AH102" s="1">
        <f t="shared" si="91"/>
        <v>162000</v>
      </c>
      <c r="AI102" s="1">
        <f t="shared" si="92"/>
        <v>162161999.99999997</v>
      </c>
      <c r="AJ102" s="1">
        <f t="shared" si="96"/>
        <v>4676137438.240334</v>
      </c>
      <c r="AK102" s="1">
        <f t="shared" si="97"/>
        <v>4680813575.678575</v>
      </c>
      <c r="AL102" s="39">
        <f>+AJ102/('Volcano Summary'!C$8)*10^6</f>
        <v>324.6309190049465</v>
      </c>
      <c r="AM102" s="1">
        <f t="shared" si="77"/>
        <v>2430.4839475336626</v>
      </c>
    </row>
    <row r="103" spans="1:39" ht="12.75" hidden="1">
      <c r="A103" s="1">
        <f t="shared" si="93"/>
        <v>2771966.9282809314</v>
      </c>
      <c r="B103" s="1">
        <f t="shared" si="89"/>
        <v>2461.8801425117467</v>
      </c>
      <c r="C103" s="1">
        <f t="shared" si="69"/>
        <v>312</v>
      </c>
      <c r="D103" s="12">
        <f t="shared" si="78"/>
        <v>19.931149940667517</v>
      </c>
      <c r="E103" s="38">
        <f t="shared" si="70"/>
        <v>210428637.82841635</v>
      </c>
      <c r="F103" s="38">
        <f t="shared" si="71"/>
        <v>135294678.85936135</v>
      </c>
      <c r="G103" s="38">
        <f t="shared" si="72"/>
        <v>60160719.89030641</v>
      </c>
      <c r="H103" s="18">
        <f t="shared" si="79"/>
        <v>0.025086359868268314</v>
      </c>
      <c r="I103" s="50">
        <v>0.0526</v>
      </c>
      <c r="J103" s="3">
        <f t="shared" si="80"/>
        <v>133.45425290709133</v>
      </c>
      <c r="K103" s="12">
        <f t="shared" si="88"/>
        <v>0.9499755479167489</v>
      </c>
      <c r="L103" s="3">
        <f t="shared" si="81"/>
        <v>1501.036739624104</v>
      </c>
      <c r="M103" s="12">
        <v>0.718</v>
      </c>
      <c r="N103" s="37">
        <f t="shared" si="82"/>
        <v>441.34556987063894</v>
      </c>
      <c r="O103" s="1">
        <f t="shared" si="73"/>
        <v>18310.110529943595</v>
      </c>
      <c r="P103">
        <f t="shared" si="83"/>
        <v>135.314857018524</v>
      </c>
      <c r="Q103" s="1">
        <f t="shared" si="84"/>
        <v>59.72061268280451</v>
      </c>
      <c r="R103" s="1">
        <f>+Q103*1000/'Material Properties'!AE$35</f>
        <v>51215.58599393429</v>
      </c>
      <c r="S103" s="1">
        <f t="shared" si="85"/>
        <v>164.15251921132787</v>
      </c>
      <c r="T103" s="1">
        <f t="shared" si="86"/>
        <v>75.08854045652538</v>
      </c>
      <c r="U103">
        <f t="shared" si="74"/>
        <v>0.00011288412632306832</v>
      </c>
      <c r="V103">
        <f>+'Material Properties'!AE$31+'Material Properties'!AE$33</f>
        <v>0.00029034311030761144</v>
      </c>
      <c r="W103">
        <f t="shared" si="90"/>
        <v>0.00040322723663067977</v>
      </c>
      <c r="X103" s="1">
        <f>+'Volcano Summary'!E$12*10^9/Q103/3600/24/365</f>
        <v>0</v>
      </c>
      <c r="Y103" s="3">
        <f t="shared" si="98"/>
        <v>4</v>
      </c>
      <c r="Z103" s="1">
        <f>+Y103*'Volcano Summary'!B$19*'Volcano Summary'!B$20/1000</f>
        <v>162000</v>
      </c>
      <c r="AA103" s="1">
        <f t="shared" si="75"/>
        <v>2712631.246106506</v>
      </c>
      <c r="AB103" s="3">
        <f t="shared" si="32"/>
        <v>753.5086794740293</v>
      </c>
      <c r="AC103" s="1">
        <f t="shared" si="94"/>
        <v>212706444.3130148</v>
      </c>
      <c r="AD103" s="36">
        <f t="shared" si="95"/>
        <v>59085.123420281925</v>
      </c>
      <c r="AE103" s="36">
        <f t="shared" si="28"/>
        <v>2461.8801425117467</v>
      </c>
      <c r="AG103" s="1">
        <f t="shared" si="76"/>
        <v>162000000</v>
      </c>
      <c r="AH103" s="1">
        <f t="shared" si="91"/>
        <v>162000</v>
      </c>
      <c r="AI103" s="1">
        <f t="shared" si="92"/>
        <v>162162000</v>
      </c>
      <c r="AJ103" s="1">
        <f t="shared" si="96"/>
        <v>4838137438.240334</v>
      </c>
      <c r="AK103" s="1">
        <f t="shared" si="97"/>
        <v>4842975575.678575</v>
      </c>
      <c r="AL103" s="39">
        <f>+AJ103/('Volcano Summary'!C$8)*10^6</f>
        <v>335.87742524506075</v>
      </c>
      <c r="AM103" s="1">
        <f t="shared" si="77"/>
        <v>2461.8801425117467</v>
      </c>
    </row>
    <row r="104" spans="1:39" ht="12.75" hidden="1">
      <c r="A104" s="1">
        <f aca="true" t="shared" si="99" ref="A104:A134">+AA103</f>
        <v>2712631.246106506</v>
      </c>
      <c r="B104" s="1">
        <f aca="true" t="shared" si="100" ref="B104:B134">+AE104</f>
        <v>2492.7674927265734</v>
      </c>
      <c r="C104" s="1">
        <f aca="true" t="shared" si="101" ref="C104:C125">+C103+4</f>
        <v>316</v>
      </c>
      <c r="D104" s="12">
        <f t="shared" si="78"/>
        <v>20.0585068271871</v>
      </c>
      <c r="E104" s="38">
        <f t="shared" si="70"/>
        <v>211773243.4446584</v>
      </c>
      <c r="F104" s="38">
        <f t="shared" si="71"/>
        <v>136159190.39600068</v>
      </c>
      <c r="G104" s="38">
        <f t="shared" si="72"/>
        <v>60545137.34734299</v>
      </c>
      <c r="H104" s="18">
        <f t="shared" si="79"/>
        <v>0.024927079782544184</v>
      </c>
      <c r="I104" s="50">
        <f>+I$103*LN(H$103)/LN(H104)</f>
        <v>0.05250924851554719</v>
      </c>
      <c r="J104" s="3">
        <f t="shared" si="80"/>
        <v>132.39022270684845</v>
      </c>
      <c r="K104" s="12">
        <f t="shared" si="88"/>
        <v>0.9492129929399081</v>
      </c>
      <c r="L104" s="3">
        <f t="shared" si="81"/>
        <v>1499.8318422572916</v>
      </c>
      <c r="M104" s="12">
        <v>0.718</v>
      </c>
      <c r="N104" s="37">
        <f t="shared" si="82"/>
        <v>447.00384640744204</v>
      </c>
      <c r="O104" s="1">
        <f t="shared" si="73"/>
        <v>18442.454431142836</v>
      </c>
      <c r="P104">
        <f t="shared" si="83"/>
        <v>135.80299860880405</v>
      </c>
      <c r="Q104" s="1">
        <f t="shared" si="84"/>
        <v>60.704462731799914</v>
      </c>
      <c r="R104" s="1">
        <f>+Q104*1000/'Material Properties'!AE$35</f>
        <v>52059.32242807119</v>
      </c>
      <c r="S104" s="1">
        <f t="shared" si="85"/>
        <v>164.74469122807338</v>
      </c>
      <c r="T104" s="1">
        <f t="shared" si="86"/>
        <v>76.17197036167158</v>
      </c>
      <c r="U104">
        <f t="shared" si="74"/>
        <v>0.00011129727136528284</v>
      </c>
      <c r="V104">
        <f>+'Material Properties'!AE$31+'Material Properties'!AE$33</f>
        <v>0.00029034311030761144</v>
      </c>
      <c r="W104">
        <f aca="true" t="shared" si="102" ref="W104:W134">+V104+U104</f>
        <v>0.0004016403816728943</v>
      </c>
      <c r="X104" s="1">
        <f>+'Volcano Summary'!E$12*10^9/Q104/3600/24/365</f>
        <v>0</v>
      </c>
      <c r="Y104" s="3">
        <f aca="true" t="shared" si="103" ref="Y104:Y134">+C105-C104</f>
        <v>4</v>
      </c>
      <c r="Z104" s="1">
        <f>+Y104*'Volcano Summary'!B$19*'Volcano Summary'!B$20/1000</f>
        <v>162000</v>
      </c>
      <c r="AA104" s="1">
        <f t="shared" si="75"/>
        <v>2668667.0585610275</v>
      </c>
      <c r="AB104" s="3">
        <f t="shared" si="32"/>
        <v>741.296405155841</v>
      </c>
      <c r="AC104" s="1">
        <f aca="true" t="shared" si="104" ref="AC104:AC134">+AC103+AA104</f>
        <v>215375111.37157583</v>
      </c>
      <c r="AD104" s="36">
        <f aca="true" t="shared" si="105" ref="AD104:AD134">+AD103+AB104</f>
        <v>59826.41982543776</v>
      </c>
      <c r="AE104" s="36">
        <f t="shared" si="28"/>
        <v>2492.7674927265734</v>
      </c>
      <c r="AG104" s="1">
        <f t="shared" si="76"/>
        <v>162000000</v>
      </c>
      <c r="AH104" s="1">
        <f aca="true" t="shared" si="106" ref="AH104:AH134">+Z104</f>
        <v>162000</v>
      </c>
      <c r="AI104" s="1">
        <f aca="true" t="shared" si="107" ref="AI104:AI134">+AH104+AG104</f>
        <v>162162000</v>
      </c>
      <c r="AJ104" s="1">
        <f aca="true" t="shared" si="108" ref="AJ104:AJ134">+AJ103+AG104</f>
        <v>5000137438.240334</v>
      </c>
      <c r="AK104" s="1">
        <f aca="true" t="shared" si="109" ref="AK104:AK134">+AK103+AI104</f>
        <v>5005137575.678575</v>
      </c>
      <c r="AL104" s="39">
        <f>+AJ104/('Volcano Summary'!C$8)*10^6</f>
        <v>347.12393148517486</v>
      </c>
      <c r="AM104" s="1">
        <f t="shared" si="77"/>
        <v>2492.7674927265734</v>
      </c>
    </row>
    <row r="105" spans="1:39" ht="12.75" hidden="1">
      <c r="A105" s="1">
        <f t="shared" si="99"/>
        <v>2668667.0585610275</v>
      </c>
      <c r="B105" s="1">
        <f t="shared" si="100"/>
        <v>2523.1604548871237</v>
      </c>
      <c r="C105" s="1">
        <f t="shared" si="101"/>
        <v>320</v>
      </c>
      <c r="D105" s="12">
        <f t="shared" si="78"/>
        <v>20.185060176161283</v>
      </c>
      <c r="E105" s="38">
        <f t="shared" si="70"/>
        <v>213109365.4906285</v>
      </c>
      <c r="F105" s="38">
        <f t="shared" si="71"/>
        <v>137018247.43781757</v>
      </c>
      <c r="G105" s="38">
        <f t="shared" si="72"/>
        <v>60927129.385006666</v>
      </c>
      <c r="H105" s="18">
        <f t="shared" si="79"/>
        <v>0.024770795610037567</v>
      </c>
      <c r="I105" s="50">
        <f aca="true" t="shared" si="110" ref="I105:I135">+I$103*LN(H$103)/LN(H105)</f>
        <v>0.052419945332564964</v>
      </c>
      <c r="J105" s="3">
        <f t="shared" si="80"/>
        <v>131.34837517223096</v>
      </c>
      <c r="K105" s="12">
        <f t="shared" si="88"/>
        <v>0.948466335540099</v>
      </c>
      <c r="L105" s="3">
        <f t="shared" si="81"/>
        <v>1498.6520643235503</v>
      </c>
      <c r="M105" s="12">
        <v>0.718</v>
      </c>
      <c r="N105" s="37">
        <f t="shared" si="82"/>
        <v>452.66212294424514</v>
      </c>
      <c r="O105" s="1">
        <f t="shared" si="73"/>
        <v>18574.116859188573</v>
      </c>
      <c r="P105">
        <f t="shared" si="83"/>
        <v>136.286891736471</v>
      </c>
      <c r="Q105" s="1">
        <f t="shared" si="84"/>
        <v>61.691913742903466</v>
      </c>
      <c r="R105" s="1">
        <f>+Q105*1000/'Material Properties'!AE$35</f>
        <v>52906.14699838463</v>
      </c>
      <c r="S105" s="1">
        <f t="shared" si="85"/>
        <v>165.33170936995197</v>
      </c>
      <c r="T105" s="1">
        <f t="shared" si="86"/>
        <v>77.23103262498785</v>
      </c>
      <c r="U105">
        <f t="shared" si="74"/>
        <v>0.00010978864238454488</v>
      </c>
      <c r="V105">
        <f>+'Material Properties'!AE$31+'Material Properties'!AE$33</f>
        <v>0.00029034311030761144</v>
      </c>
      <c r="W105">
        <f t="shared" si="102"/>
        <v>0.0004001317526921563</v>
      </c>
      <c r="X105" s="1">
        <f>+'Volcano Summary'!E$12*10^9/Q105/3600/24/365</f>
        <v>0</v>
      </c>
      <c r="Y105" s="3">
        <f t="shared" si="103"/>
        <v>4</v>
      </c>
      <c r="Z105" s="1">
        <f>+Y105*'Volcano Summary'!B$19*'Volcano Summary'!B$20/1000</f>
        <v>162000</v>
      </c>
      <c r="AA105" s="1">
        <f t="shared" si="75"/>
        <v>2625951.9306715485</v>
      </c>
      <c r="AB105" s="3">
        <f t="shared" si="32"/>
        <v>729.4310918532079</v>
      </c>
      <c r="AC105" s="1">
        <f t="shared" si="104"/>
        <v>218001063.30224738</v>
      </c>
      <c r="AD105" s="36">
        <f t="shared" si="105"/>
        <v>60555.85091729097</v>
      </c>
      <c r="AE105" s="36">
        <f t="shared" si="28"/>
        <v>2523.1604548871237</v>
      </c>
      <c r="AG105" s="1">
        <f t="shared" si="76"/>
        <v>162000000</v>
      </c>
      <c r="AH105" s="1">
        <f t="shared" si="106"/>
        <v>162000</v>
      </c>
      <c r="AI105" s="1">
        <f t="shared" si="107"/>
        <v>162162000</v>
      </c>
      <c r="AJ105" s="1">
        <f t="shared" si="108"/>
        <v>5162137438.240334</v>
      </c>
      <c r="AK105" s="1">
        <f t="shared" si="109"/>
        <v>5167299575.678575</v>
      </c>
      <c r="AL105" s="39">
        <f>+AJ105/('Volcano Summary'!C$8)*10^6</f>
        <v>358.37043772528904</v>
      </c>
      <c r="AM105" s="1">
        <f t="shared" si="77"/>
        <v>2523.1604548871237</v>
      </c>
    </row>
    <row r="106" spans="1:39" ht="12.75" hidden="1">
      <c r="A106" s="1">
        <f t="shared" si="99"/>
        <v>2625951.9306715485</v>
      </c>
      <c r="B106" s="1">
        <f t="shared" si="100"/>
        <v>2553.072903008226</v>
      </c>
      <c r="C106" s="1">
        <f t="shared" si="101"/>
        <v>324</v>
      </c>
      <c r="D106" s="12">
        <f t="shared" si="78"/>
        <v>20.310825007719227</v>
      </c>
      <c r="E106" s="38">
        <f t="shared" si="70"/>
        <v>214437162.54550192</v>
      </c>
      <c r="F106" s="38">
        <f t="shared" si="71"/>
        <v>137871951.94298092</v>
      </c>
      <c r="G106" s="38">
        <f t="shared" si="72"/>
        <v>61306741.34045994</v>
      </c>
      <c r="H106" s="18">
        <f t="shared" si="79"/>
        <v>0.024617414595909944</v>
      </c>
      <c r="I106" s="50">
        <f t="shared" si="110"/>
        <v>0.05233204915616602</v>
      </c>
      <c r="J106" s="3">
        <f t="shared" si="80"/>
        <v>130.3279750730878</v>
      </c>
      <c r="K106" s="12">
        <f t="shared" si="88"/>
        <v>0.9477350488023797</v>
      </c>
      <c r="L106" s="3">
        <f t="shared" si="81"/>
        <v>1497.496573255466</v>
      </c>
      <c r="M106" s="12">
        <v>0.718</v>
      </c>
      <c r="N106" s="37">
        <f t="shared" si="82"/>
        <v>458.3203994810482</v>
      </c>
      <c r="O106" s="1">
        <f t="shared" si="73"/>
        <v>18705.109364614225</v>
      </c>
      <c r="P106">
        <f t="shared" si="83"/>
        <v>136.76662372309343</v>
      </c>
      <c r="Q106" s="1">
        <f t="shared" si="84"/>
        <v>62.682933620442384</v>
      </c>
      <c r="R106" s="1">
        <f>+Q106*1000/'Material Properties'!AE$35</f>
        <v>53756.032180061724</v>
      </c>
      <c r="S106" s="1">
        <f t="shared" si="85"/>
        <v>165.91367956809174</v>
      </c>
      <c r="T106" s="1">
        <f t="shared" si="86"/>
        <v>78.2665853198007</v>
      </c>
      <c r="U106">
        <f t="shared" si="74"/>
        <v>0.0001083525323891233</v>
      </c>
      <c r="V106">
        <f>+'Material Properties'!AE$31+'Material Properties'!AE$33</f>
        <v>0.00029034311030761144</v>
      </c>
      <c r="W106">
        <f t="shared" si="102"/>
        <v>0.0003986956426967347</v>
      </c>
      <c r="X106" s="1">
        <f>+'Volcano Summary'!E$12*10^9/Q106/3600/24/365</f>
        <v>0</v>
      </c>
      <c r="Y106" s="3">
        <f t="shared" si="103"/>
        <v>4</v>
      </c>
      <c r="Z106" s="1">
        <f>+Y106*'Volcano Summary'!B$19*'Volcano Summary'!B$20/1000</f>
        <v>162000</v>
      </c>
      <c r="AA106" s="1">
        <f t="shared" si="75"/>
        <v>2584435.5176632633</v>
      </c>
      <c r="AB106" s="3">
        <f t="shared" si="32"/>
        <v>717.898754906462</v>
      </c>
      <c r="AC106" s="1">
        <f t="shared" si="104"/>
        <v>220585498.81991065</v>
      </c>
      <c r="AD106" s="36">
        <f t="shared" si="105"/>
        <v>61273.74967219743</v>
      </c>
      <c r="AE106" s="36">
        <f t="shared" si="28"/>
        <v>2553.072903008226</v>
      </c>
      <c r="AG106" s="1">
        <f t="shared" si="76"/>
        <v>161999999.99999997</v>
      </c>
      <c r="AH106" s="1">
        <f t="shared" si="106"/>
        <v>162000</v>
      </c>
      <c r="AI106" s="1">
        <f t="shared" si="107"/>
        <v>162161999.99999997</v>
      </c>
      <c r="AJ106" s="1">
        <f t="shared" si="108"/>
        <v>5324137438.240334</v>
      </c>
      <c r="AK106" s="1">
        <f t="shared" si="109"/>
        <v>5329461575.678575</v>
      </c>
      <c r="AL106" s="39">
        <f>+AJ106/('Volcano Summary'!C$8)*10^6</f>
        <v>369.6169439654032</v>
      </c>
      <c r="AM106" s="1">
        <f t="shared" si="77"/>
        <v>2553.072903008226</v>
      </c>
    </row>
    <row r="107" spans="1:39" ht="12.75" hidden="1">
      <c r="A107" s="1">
        <f t="shared" si="99"/>
        <v>2584435.5176632633</v>
      </c>
      <c r="B107" s="1">
        <f t="shared" si="100"/>
        <v>2580.206524805982</v>
      </c>
      <c r="C107" s="1">
        <f t="shared" si="101"/>
        <v>328</v>
      </c>
      <c r="D107" s="12">
        <f t="shared" si="78"/>
        <v>20.435815879801165</v>
      </c>
      <c r="E107" s="38">
        <f t="shared" si="70"/>
        <v>215756788.3087662</v>
      </c>
      <c r="F107" s="38">
        <f t="shared" si="71"/>
        <v>138720402.73227397</v>
      </c>
      <c r="G107" s="38">
        <f t="shared" si="72"/>
        <v>61684017.15578175</v>
      </c>
      <c r="H107" s="18">
        <f t="shared" si="79"/>
        <v>0.02446684795659183</v>
      </c>
      <c r="I107" s="50">
        <f t="shared" si="110"/>
        <v>0.05224552036949786</v>
      </c>
      <c r="J107" s="3">
        <f t="shared" si="80"/>
        <v>129.32832032935255</v>
      </c>
      <c r="K107" s="12">
        <f>0.883-(40-J107)/20*(0.883-0.831)</f>
        <v>1.115253632856317</v>
      </c>
      <c r="L107" s="3">
        <f t="shared" si="81"/>
        <v>1762.189227488714</v>
      </c>
      <c r="M107" s="12">
        <v>0.718</v>
      </c>
      <c r="N107" s="37">
        <f t="shared" si="82"/>
        <v>463.9786760178513</v>
      </c>
      <c r="O107" s="1">
        <f t="shared" si="73"/>
        <v>22181.502833368882</v>
      </c>
      <c r="P107">
        <f t="shared" si="83"/>
        <v>148.93455889540508</v>
      </c>
      <c r="Q107" s="1">
        <f t="shared" si="84"/>
        <v>69.10245944959274</v>
      </c>
      <c r="R107" s="1">
        <f>+Q107*1000/'Material Properties'!AE$35</f>
        <v>59261.33030701478</v>
      </c>
      <c r="S107" s="1">
        <f t="shared" si="85"/>
        <v>180.67478752138652</v>
      </c>
      <c r="T107" s="1">
        <f t="shared" si="86"/>
        <v>-203.09871024834115</v>
      </c>
      <c r="U107">
        <f t="shared" si="74"/>
        <v>-4.242311926453237E-05</v>
      </c>
      <c r="V107">
        <f>+'Material Properties'!AE$31+'Material Properties'!AE$33</f>
        <v>0.00029034311030761144</v>
      </c>
      <c r="W107">
        <f t="shared" si="102"/>
        <v>0.00024791999104307907</v>
      </c>
      <c r="X107" s="1">
        <f>+'Volcano Summary'!E$12*10^9/Q107/3600/24/365</f>
        <v>0</v>
      </c>
      <c r="Y107" s="3">
        <f t="shared" si="103"/>
        <v>4</v>
      </c>
      <c r="Z107" s="1">
        <f>+Y107*'Volcano Summary'!B$19*'Volcano Summary'!B$20/1000</f>
        <v>162000</v>
      </c>
      <c r="AA107" s="1">
        <f t="shared" si="75"/>
        <v>2344344.9233260937</v>
      </c>
      <c r="AB107" s="3">
        <f t="shared" si="32"/>
        <v>651.2069231461371</v>
      </c>
      <c r="AC107" s="1">
        <f t="shared" si="104"/>
        <v>222929843.74323675</v>
      </c>
      <c r="AD107" s="36">
        <f t="shared" si="105"/>
        <v>61924.95659534357</v>
      </c>
      <c r="AE107" s="36">
        <f t="shared" si="28"/>
        <v>2580.206524805982</v>
      </c>
      <c r="AG107" s="1">
        <f t="shared" si="76"/>
        <v>162000000</v>
      </c>
      <c r="AH107" s="1">
        <f t="shared" si="106"/>
        <v>162000</v>
      </c>
      <c r="AI107" s="1">
        <f t="shared" si="107"/>
        <v>162162000</v>
      </c>
      <c r="AJ107" s="1">
        <f t="shared" si="108"/>
        <v>5486137438.240334</v>
      </c>
      <c r="AK107" s="1">
        <f t="shared" si="109"/>
        <v>5491623575.678575</v>
      </c>
      <c r="AL107" s="39">
        <f>+AJ107/('Volcano Summary'!C$8)*10^6</f>
        <v>380.8634502055173</v>
      </c>
      <c r="AM107" s="1">
        <f t="shared" si="77"/>
        <v>2580.206524805982</v>
      </c>
    </row>
    <row r="108" spans="1:39" ht="12.75" hidden="1">
      <c r="A108" s="1">
        <f t="shared" si="99"/>
        <v>2344344.9233260937</v>
      </c>
      <c r="B108" s="1">
        <f t="shared" si="100"/>
        <v>2606.942066061314</v>
      </c>
      <c r="C108" s="1">
        <f t="shared" si="101"/>
        <v>332</v>
      </c>
      <c r="D108" s="12">
        <f t="shared" si="78"/>
        <v>20.56004690782767</v>
      </c>
      <c r="E108" s="38">
        <f t="shared" si="70"/>
        <v>217068391.807885</v>
      </c>
      <c r="F108" s="38">
        <f t="shared" si="71"/>
        <v>139563695.62261137</v>
      </c>
      <c r="G108" s="38">
        <f t="shared" si="72"/>
        <v>62058999.43733781</v>
      </c>
      <c r="H108" s="18">
        <f t="shared" si="79"/>
        <v>0.024319010663815113</v>
      </c>
      <c r="I108" s="50">
        <f t="shared" si="110"/>
        <v>0.052160320945795056</v>
      </c>
      <c r="J108" s="3">
        <f t="shared" si="80"/>
        <v>128.34874013088086</v>
      </c>
      <c r="K108" s="12">
        <f aca="true" t="shared" si="111" ref="K108:K171">0.883-(40-J108)/20*(0.883-0.831)</f>
        <v>1.1127067243402904</v>
      </c>
      <c r="L108" s="3">
        <f t="shared" si="81"/>
        <v>1758.1649099540143</v>
      </c>
      <c r="M108" s="12">
        <v>0.718</v>
      </c>
      <c r="N108" s="37">
        <f t="shared" si="82"/>
        <v>469.63695255465433</v>
      </c>
      <c r="O108" s="1">
        <f t="shared" si="73"/>
        <v>22299.753382348666</v>
      </c>
      <c r="P108">
        <f t="shared" si="83"/>
        <v>149.33101949142605</v>
      </c>
      <c r="Q108" s="1">
        <f t="shared" si="84"/>
        <v>70.13136491583302</v>
      </c>
      <c r="R108" s="1">
        <f>+Q108*1000/'Material Properties'!AE$35</f>
        <v>60143.705654798694</v>
      </c>
      <c r="S108" s="1">
        <f t="shared" si="85"/>
        <v>181.15573992409244</v>
      </c>
      <c r="T108" s="1">
        <f t="shared" si="86"/>
        <v>-198.1570078509585</v>
      </c>
      <c r="U108">
        <f t="shared" si="74"/>
        <v>-4.348590751453152E-05</v>
      </c>
      <c r="V108">
        <f>+'Material Properties'!AE$31+'Material Properties'!AE$33</f>
        <v>0.00029034311030761144</v>
      </c>
      <c r="W108">
        <f t="shared" si="102"/>
        <v>0.0002468572027930799</v>
      </c>
      <c r="X108" s="1">
        <f>+'Volcano Summary'!E$12*10^9/Q108/3600/24/365</f>
        <v>0</v>
      </c>
      <c r="Y108" s="3">
        <f t="shared" si="103"/>
        <v>4</v>
      </c>
      <c r="Z108" s="1">
        <f>+Y108*'Volcano Summary'!B$19*'Volcano Summary'!B$20/1000</f>
        <v>162000</v>
      </c>
      <c r="AA108" s="1">
        <f t="shared" si="75"/>
        <v>2309950.7644606885</v>
      </c>
      <c r="AB108" s="3">
        <f t="shared" si="32"/>
        <v>641.652990127969</v>
      </c>
      <c r="AC108" s="1">
        <f t="shared" si="104"/>
        <v>225239794.50769743</v>
      </c>
      <c r="AD108" s="36">
        <f t="shared" si="105"/>
        <v>62566.60958547154</v>
      </c>
      <c r="AE108" s="36">
        <f t="shared" si="28"/>
        <v>2606.942066061314</v>
      </c>
      <c r="AG108" s="1">
        <f t="shared" si="76"/>
        <v>162000000</v>
      </c>
      <c r="AH108" s="1">
        <f t="shared" si="106"/>
        <v>162000</v>
      </c>
      <c r="AI108" s="1">
        <f t="shared" si="107"/>
        <v>162162000</v>
      </c>
      <c r="AJ108" s="1">
        <f t="shared" si="108"/>
        <v>5648137438.240334</v>
      </c>
      <c r="AK108" s="1">
        <f t="shared" si="109"/>
        <v>5653785575.678575</v>
      </c>
      <c r="AL108" s="39">
        <f>+AJ108/('Volcano Summary'!C$8)*10^6</f>
        <v>392.1099564456315</v>
      </c>
      <c r="AM108" s="1">
        <f t="shared" si="77"/>
        <v>2606.942066061314</v>
      </c>
    </row>
    <row r="109" spans="1:39" ht="12.75" hidden="1">
      <c r="A109" s="1">
        <f t="shared" si="99"/>
        <v>2309950.7644606885</v>
      </c>
      <c r="B109" s="1">
        <f t="shared" si="100"/>
        <v>2633.2899034676398</v>
      </c>
      <c r="C109" s="1">
        <f t="shared" si="101"/>
        <v>336</v>
      </c>
      <c r="D109" s="12">
        <f t="shared" si="78"/>
        <v>20.683531783305643</v>
      </c>
      <c r="E109" s="38">
        <f t="shared" si="70"/>
        <v>218372117.59473598</v>
      </c>
      <c r="F109" s="38">
        <f t="shared" si="71"/>
        <v>140401923.55333865</v>
      </c>
      <c r="G109" s="38">
        <f t="shared" si="72"/>
        <v>62431729.51194136</v>
      </c>
      <c r="H109" s="18">
        <f t="shared" si="79"/>
        <v>0.024173821242828866</v>
      </c>
      <c r="I109" s="50">
        <f t="shared" si="110"/>
        <v>0.05207641436604916</v>
      </c>
      <c r="J109" s="3">
        <f t="shared" si="80"/>
        <v>127.38859318523575</v>
      </c>
      <c r="K109" s="12">
        <f t="shared" si="111"/>
        <v>1.1102103422816132</v>
      </c>
      <c r="L109" s="3">
        <f t="shared" si="81"/>
        <v>1754.2204282308476</v>
      </c>
      <c r="M109" s="12">
        <v>0.718</v>
      </c>
      <c r="N109" s="37">
        <f t="shared" si="82"/>
        <v>475.2952290914574</v>
      </c>
      <c r="O109" s="1">
        <f t="shared" si="73"/>
        <v>22417.42289869527</v>
      </c>
      <c r="P109">
        <f t="shared" si="83"/>
        <v>149.72448997640723</v>
      </c>
      <c r="Q109" s="1">
        <f t="shared" si="84"/>
        <v>71.16333576393808</v>
      </c>
      <c r="R109" s="1">
        <f>+Q109*1000/'Material Properties'!AE$35</f>
        <v>61028.70983241954</v>
      </c>
      <c r="S109" s="1">
        <f t="shared" si="85"/>
        <v>181.63306497743912</v>
      </c>
      <c r="T109" s="1">
        <f t="shared" si="86"/>
        <v>-193.33323383271977</v>
      </c>
      <c r="U109">
        <f t="shared" si="74"/>
        <v>-4.457598009009545E-05</v>
      </c>
      <c r="V109">
        <f>+'Material Properties'!AE$31+'Material Properties'!AE$33</f>
        <v>0.00029034311030761144</v>
      </c>
      <c r="W109">
        <f t="shared" si="102"/>
        <v>0.000245767130217516</v>
      </c>
      <c r="X109" s="1">
        <f>+'Volcano Summary'!E$12*10^9/Q109/3600/24/365</f>
        <v>0</v>
      </c>
      <c r="Y109" s="3">
        <f t="shared" si="103"/>
        <v>4</v>
      </c>
      <c r="Z109" s="1">
        <f>+Y109*'Volcano Summary'!B$19*'Volcano Summary'!B$20/1000</f>
        <v>162000</v>
      </c>
      <c r="AA109" s="1">
        <f t="shared" si="75"/>
        <v>2276453.151906537</v>
      </c>
      <c r="AB109" s="3">
        <f t="shared" si="32"/>
        <v>632.3480977518158</v>
      </c>
      <c r="AC109" s="1">
        <f t="shared" si="104"/>
        <v>227516247.65960398</v>
      </c>
      <c r="AD109" s="36">
        <f t="shared" si="105"/>
        <v>63198.95768322336</v>
      </c>
      <c r="AE109" s="36">
        <f t="shared" si="28"/>
        <v>2633.2899034676398</v>
      </c>
      <c r="AG109" s="1">
        <f t="shared" si="76"/>
        <v>162000000.00000003</v>
      </c>
      <c r="AH109" s="1">
        <f t="shared" si="106"/>
        <v>162000</v>
      </c>
      <c r="AI109" s="1">
        <f t="shared" si="107"/>
        <v>162162000.00000003</v>
      </c>
      <c r="AJ109" s="1">
        <f t="shared" si="108"/>
        <v>5810137438.240334</v>
      </c>
      <c r="AK109" s="1">
        <f t="shared" si="109"/>
        <v>5815947575.678575</v>
      </c>
      <c r="AL109" s="39">
        <f>+AJ109/('Volcano Summary'!C$8)*10^6</f>
        <v>403.35646268574567</v>
      </c>
      <c r="AM109" s="1">
        <f t="shared" si="77"/>
        <v>2633.2899034676398</v>
      </c>
    </row>
    <row r="110" spans="1:39" ht="12.75" hidden="1">
      <c r="A110" s="1">
        <f t="shared" si="99"/>
        <v>2276453.151906537</v>
      </c>
      <c r="B110" s="1">
        <f t="shared" si="100"/>
        <v>2659.260026923751</v>
      </c>
      <c r="C110" s="1">
        <f t="shared" si="101"/>
        <v>340</v>
      </c>
      <c r="D110" s="12">
        <f t="shared" si="78"/>
        <v>20.806283791440396</v>
      </c>
      <c r="E110" s="38">
        <f t="shared" si="70"/>
        <v>219668105.93155512</v>
      </c>
      <c r="F110" s="38">
        <f t="shared" si="71"/>
        <v>141235176.70578456</v>
      </c>
      <c r="G110" s="38">
        <f t="shared" si="72"/>
        <v>62802247.48001402</v>
      </c>
      <c r="H110" s="18">
        <f t="shared" si="79"/>
        <v>0.024031201583710856</v>
      </c>
      <c r="I110" s="50">
        <f t="shared" si="110"/>
        <v>0.0519937655418746</v>
      </c>
      <c r="J110" s="3">
        <f t="shared" si="80"/>
        <v>126.44726608329879</v>
      </c>
      <c r="K110" s="12">
        <f t="shared" si="111"/>
        <v>1.1077628918165772</v>
      </c>
      <c r="L110" s="3">
        <f t="shared" si="81"/>
        <v>1750.3532623080137</v>
      </c>
      <c r="M110" s="12">
        <v>0.718</v>
      </c>
      <c r="N110" s="37">
        <f t="shared" si="82"/>
        <v>480.9535056282605</v>
      </c>
      <c r="O110" s="1">
        <f t="shared" si="73"/>
        <v>22534.520767926242</v>
      </c>
      <c r="P110">
        <f t="shared" si="83"/>
        <v>150.11502512382378</v>
      </c>
      <c r="Q110" s="1">
        <f t="shared" si="84"/>
        <v>72.19834758077744</v>
      </c>
      <c r="R110" s="1">
        <f>+Q110*1000/'Material Properties'!AE$35</f>
        <v>61916.3219035083</v>
      </c>
      <c r="S110" s="1">
        <f t="shared" si="85"/>
        <v>182.1068291279656</v>
      </c>
      <c r="T110" s="1">
        <f t="shared" si="86"/>
        <v>-188.6231292468915</v>
      </c>
      <c r="U110">
        <f t="shared" si="74"/>
        <v>-4.5694422602120785E-05</v>
      </c>
      <c r="V110">
        <f>+'Material Properties'!AE$31+'Material Properties'!AE$33</f>
        <v>0.00029034311030761144</v>
      </c>
      <c r="W110">
        <f t="shared" si="102"/>
        <v>0.0002446486877054907</v>
      </c>
      <c r="X110" s="1">
        <f>+'Volcano Summary'!E$12*10^9/Q110/3600/24/365</f>
        <v>0</v>
      </c>
      <c r="Y110" s="3">
        <f t="shared" si="103"/>
        <v>4</v>
      </c>
      <c r="Z110" s="1">
        <f>+Y110*'Volcano Summary'!B$19*'Volcano Summary'!B$20/1000</f>
        <v>162000</v>
      </c>
      <c r="AA110" s="1">
        <f t="shared" si="75"/>
        <v>2243818.6666079867</v>
      </c>
      <c r="AB110" s="3">
        <f t="shared" si="32"/>
        <v>623.282962946663</v>
      </c>
      <c r="AC110" s="1">
        <f t="shared" si="104"/>
        <v>229760066.32621196</v>
      </c>
      <c r="AD110" s="36">
        <f t="shared" si="105"/>
        <v>63822.24064617002</v>
      </c>
      <c r="AE110" s="36">
        <f t="shared" si="28"/>
        <v>2659.260026923751</v>
      </c>
      <c r="AG110" s="1">
        <f t="shared" si="76"/>
        <v>162000000</v>
      </c>
      <c r="AH110" s="1">
        <f t="shared" si="106"/>
        <v>162000</v>
      </c>
      <c r="AI110" s="1">
        <f t="shared" si="107"/>
        <v>162162000</v>
      </c>
      <c r="AJ110" s="1">
        <f t="shared" si="108"/>
        <v>5972137438.240334</v>
      </c>
      <c r="AK110" s="1">
        <f t="shared" si="109"/>
        <v>5978109575.678575</v>
      </c>
      <c r="AL110" s="39">
        <f>+AJ110/('Volcano Summary'!C$8)*10^6</f>
        <v>414.60296892585984</v>
      </c>
      <c r="AM110" s="1">
        <f t="shared" si="77"/>
        <v>2659.260026923751</v>
      </c>
    </row>
    <row r="111" spans="1:39" ht="12.75" hidden="1">
      <c r="A111" s="1">
        <f t="shared" si="99"/>
        <v>2243818.6666079867</v>
      </c>
      <c r="B111" s="1">
        <f t="shared" si="100"/>
        <v>2684.862058206923</v>
      </c>
      <c r="C111" s="1">
        <f t="shared" si="101"/>
        <v>344</v>
      </c>
      <c r="D111" s="12">
        <f t="shared" si="78"/>
        <v>20.928315827817965</v>
      </c>
      <c r="E111" s="38">
        <f t="shared" si="70"/>
        <v>220956492.967065</v>
      </c>
      <c r="F111" s="38">
        <f t="shared" si="71"/>
        <v>142063542.61650252</v>
      </c>
      <c r="G111" s="38">
        <f t="shared" si="72"/>
        <v>63170592.26594003</v>
      </c>
      <c r="H111" s="18">
        <f t="shared" si="79"/>
        <v>0.023891076764781947</v>
      </c>
      <c r="I111" s="50">
        <f t="shared" si="110"/>
        <v>0.051912340743185285</v>
      </c>
      <c r="J111" s="3">
        <f t="shared" si="80"/>
        <v>125.52417177349571</v>
      </c>
      <c r="K111" s="12">
        <f t="shared" si="111"/>
        <v>1.1053628466110892</v>
      </c>
      <c r="L111" s="3">
        <f t="shared" si="81"/>
        <v>1746.5610004565413</v>
      </c>
      <c r="M111" s="12">
        <v>0.718</v>
      </c>
      <c r="N111" s="37">
        <f t="shared" si="82"/>
        <v>486.61178216506346</v>
      </c>
      <c r="O111" s="1">
        <f t="shared" si="73"/>
        <v>22651.056116797015</v>
      </c>
      <c r="P111">
        <f t="shared" si="83"/>
        <v>150.50267810506568</v>
      </c>
      <c r="Q111" s="1">
        <f t="shared" si="84"/>
        <v>73.23637641332088</v>
      </c>
      <c r="R111" s="1">
        <f>+Q111*1000/'Material Properties'!AE$35</f>
        <v>62806.52132627175</v>
      </c>
      <c r="S111" s="1">
        <f t="shared" si="85"/>
        <v>182.57709687869695</v>
      </c>
      <c r="T111" s="1">
        <f t="shared" si="86"/>
        <v>-184.02263878801296</v>
      </c>
      <c r="U111">
        <f t="shared" si="74"/>
        <v>-4.684237872920768E-05</v>
      </c>
      <c r="V111">
        <f>+'Material Properties'!AE$31+'Material Properties'!AE$33</f>
        <v>0.00029034311030761144</v>
      </c>
      <c r="W111">
        <f t="shared" si="102"/>
        <v>0.00024350073157840377</v>
      </c>
      <c r="X111" s="1">
        <f>+'Volcano Summary'!E$12*10^9/Q111/3600/24/365</f>
        <v>0</v>
      </c>
      <c r="Y111" s="3">
        <f t="shared" si="103"/>
        <v>4</v>
      </c>
      <c r="Z111" s="1">
        <f>+Y111*'Volcano Summary'!B$19*'Volcano Summary'!B$20/1000</f>
        <v>162000</v>
      </c>
      <c r="AA111" s="1">
        <f t="shared" si="75"/>
        <v>2212015.5028660595</v>
      </c>
      <c r="AB111" s="3">
        <f t="shared" si="32"/>
        <v>614.4487507961277</v>
      </c>
      <c r="AC111" s="1">
        <f t="shared" si="104"/>
        <v>231972081.82907802</v>
      </c>
      <c r="AD111" s="36">
        <f t="shared" si="105"/>
        <v>64436.689396966154</v>
      </c>
      <c r="AE111" s="36">
        <f t="shared" si="28"/>
        <v>2684.862058206923</v>
      </c>
      <c r="AG111" s="1">
        <f t="shared" si="76"/>
        <v>162000000.00000003</v>
      </c>
      <c r="AH111" s="1">
        <f t="shared" si="106"/>
        <v>162000</v>
      </c>
      <c r="AI111" s="1">
        <f t="shared" si="107"/>
        <v>162162000.00000003</v>
      </c>
      <c r="AJ111" s="1">
        <f t="shared" si="108"/>
        <v>6134137438.240334</v>
      </c>
      <c r="AK111" s="1">
        <f t="shared" si="109"/>
        <v>6140271575.678575</v>
      </c>
      <c r="AL111" s="39">
        <f>+AJ111/('Volcano Summary'!C$8)*10^6</f>
        <v>425.84947516597396</v>
      </c>
      <c r="AM111" s="1">
        <f t="shared" si="77"/>
        <v>2684.862058206923</v>
      </c>
    </row>
    <row r="112" spans="1:39" ht="12.75" hidden="1">
      <c r="A112" s="1">
        <f t="shared" si="99"/>
        <v>2212015.5028660595</v>
      </c>
      <c r="B112" s="1">
        <f t="shared" si="100"/>
        <v>2710.105268543171</v>
      </c>
      <c r="C112" s="1">
        <f t="shared" si="101"/>
        <v>348</v>
      </c>
      <c r="D112" s="12">
        <f t="shared" si="78"/>
        <v>21.049640414216977</v>
      </c>
      <c r="E112" s="38">
        <f t="shared" si="70"/>
        <v>222237410.90341288</v>
      </c>
      <c r="F112" s="38">
        <f t="shared" si="71"/>
        <v>142887106.28460312</v>
      </c>
      <c r="G112" s="38">
        <f t="shared" si="72"/>
        <v>63536801.665793344</v>
      </c>
      <c r="H112" s="18">
        <f t="shared" si="79"/>
        <v>0.023753374887216544</v>
      </c>
      <c r="I112" s="50">
        <f t="shared" si="110"/>
        <v>0.05183210753032924</v>
      </c>
      <c r="J112" s="3">
        <f t="shared" si="80"/>
        <v>124.61874813624301</v>
      </c>
      <c r="K112" s="12">
        <f t="shared" si="111"/>
        <v>1.103008745154232</v>
      </c>
      <c r="L112" s="3">
        <f t="shared" si="81"/>
        <v>1742.841333373221</v>
      </c>
      <c r="M112" s="12">
        <v>0.718</v>
      </c>
      <c r="N112" s="37">
        <f t="shared" si="82"/>
        <v>492.2700587018666</v>
      </c>
      <c r="O112" s="1">
        <f t="shared" si="73"/>
        <v>22767.037823331037</v>
      </c>
      <c r="P112">
        <f t="shared" si="83"/>
        <v>150.88750055366097</v>
      </c>
      <c r="Q112" s="1">
        <f t="shared" si="84"/>
        <v>74.27739875492863</v>
      </c>
      <c r="R112" s="1">
        <f>+Q112*1000/'Material Properties'!AE$35</f>
        <v>63699.28794173498</v>
      </c>
      <c r="S112" s="1">
        <f t="shared" si="85"/>
        <v>183.04393086705454</v>
      </c>
      <c r="T112" s="1">
        <f t="shared" si="86"/>
        <v>-179.52789875370422</v>
      </c>
      <c r="U112">
        <f t="shared" si="74"/>
        <v>-4.802105415698464E-05</v>
      </c>
      <c r="V112">
        <f>+'Material Properties'!AE$31+'Material Properties'!AE$33</f>
        <v>0.00029034311030761144</v>
      </c>
      <c r="W112">
        <f t="shared" si="102"/>
        <v>0.0002423220561506268</v>
      </c>
      <c r="X112" s="1">
        <f>+'Volcano Summary'!E$12*10^9/Q112/3600/24/365</f>
        <v>0</v>
      </c>
      <c r="Y112" s="3">
        <f t="shared" si="103"/>
        <v>4</v>
      </c>
      <c r="Z112" s="1">
        <f>+Y112*'Volcano Summary'!B$19*'Volcano Summary'!B$20/1000</f>
        <v>162000</v>
      </c>
      <c r="AA112" s="1">
        <f t="shared" si="75"/>
        <v>2181013.373051794</v>
      </c>
      <c r="AB112" s="3">
        <f t="shared" si="32"/>
        <v>605.8370480699427</v>
      </c>
      <c r="AC112" s="1">
        <f t="shared" si="104"/>
        <v>234153095.2021298</v>
      </c>
      <c r="AD112" s="36">
        <f t="shared" si="105"/>
        <v>65042.5264450361</v>
      </c>
      <c r="AE112" s="36">
        <f t="shared" si="28"/>
        <v>2710.105268543171</v>
      </c>
      <c r="AG112" s="1">
        <f t="shared" si="76"/>
        <v>162000000</v>
      </c>
      <c r="AH112" s="1">
        <f t="shared" si="106"/>
        <v>162000</v>
      </c>
      <c r="AI112" s="1">
        <f t="shared" si="107"/>
        <v>162162000</v>
      </c>
      <c r="AJ112" s="1">
        <f t="shared" si="108"/>
        <v>6296137438.240334</v>
      </c>
      <c r="AK112" s="1">
        <f t="shared" si="109"/>
        <v>6302433575.678575</v>
      </c>
      <c r="AL112" s="39">
        <f>+AJ112/('Volcano Summary'!C$8)*10^6</f>
        <v>437.0959814060881</v>
      </c>
      <c r="AM112" s="1">
        <f t="shared" si="77"/>
        <v>2710.105268543171</v>
      </c>
    </row>
    <row r="113" spans="1:39" ht="12.75" hidden="1">
      <c r="A113" s="1">
        <f t="shared" si="99"/>
        <v>2181013.373051794</v>
      </c>
      <c r="B113" s="1">
        <f t="shared" si="100"/>
        <v>2734.998595151436</v>
      </c>
      <c r="C113" s="1">
        <f t="shared" si="101"/>
        <v>352</v>
      </c>
      <c r="D113" s="12">
        <f t="shared" si="78"/>
        <v>21.17026971360491</v>
      </c>
      <c r="E113" s="38">
        <f t="shared" si="70"/>
        <v>223510988.1544979</v>
      </c>
      <c r="F113" s="38">
        <f t="shared" si="71"/>
        <v>143705950.27355027</v>
      </c>
      <c r="G113" s="38">
        <f t="shared" si="72"/>
        <v>63900912.39260264</v>
      </c>
      <c r="H113" s="18">
        <f t="shared" si="79"/>
        <v>0.023618026920019772</v>
      </c>
      <c r="I113" s="50">
        <f t="shared" si="110"/>
        <v>0.05175303469035835</v>
      </c>
      <c r="J113" s="3">
        <f t="shared" si="80"/>
        <v>123.73045665096006</v>
      </c>
      <c r="K113" s="12">
        <f t="shared" si="111"/>
        <v>1.1006991872924963</v>
      </c>
      <c r="L113" s="3">
        <f t="shared" si="81"/>
        <v>1739.192048704415</v>
      </c>
      <c r="M113" s="12">
        <v>0.718</v>
      </c>
      <c r="N113" s="37">
        <f t="shared" si="82"/>
        <v>497.9283352386696</v>
      </c>
      <c r="O113" s="1">
        <f t="shared" si="73"/>
        <v>22882.474526351172</v>
      </c>
      <c r="P113">
        <f t="shared" si="83"/>
        <v>151.26954262623778</v>
      </c>
      <c r="Q113" s="1">
        <f t="shared" si="84"/>
        <v>75.32139153219755</v>
      </c>
      <c r="R113" s="1">
        <f>+Q113*1000/'Material Properties'!AE$35</f>
        <v>64594.601962461005</v>
      </c>
      <c r="S113" s="1">
        <f t="shared" si="85"/>
        <v>183.50739193880966</v>
      </c>
      <c r="T113" s="1">
        <f t="shared" si="86"/>
        <v>-175.13522585010628</v>
      </c>
      <c r="U113">
        <f t="shared" si="74"/>
        <v>-4.923172084260117E-05</v>
      </c>
      <c r="V113">
        <f>+'Material Properties'!AE$31+'Material Properties'!AE$33</f>
        <v>0.00029034311030761144</v>
      </c>
      <c r="W113">
        <f t="shared" si="102"/>
        <v>0.00024111138946501028</v>
      </c>
      <c r="X113" s="1">
        <f>+'Volcano Summary'!E$12*10^9/Q113/3600/24/365</f>
        <v>0</v>
      </c>
      <c r="Y113" s="3">
        <f t="shared" si="103"/>
        <v>4</v>
      </c>
      <c r="Z113" s="1">
        <f>+Y113*'Volcano Summary'!B$19*'Volcano Summary'!B$20/1000</f>
        <v>162000</v>
      </c>
      <c r="AA113" s="1">
        <f t="shared" si="75"/>
        <v>2150783.4189540967</v>
      </c>
      <c r="AB113" s="3">
        <f t="shared" si="32"/>
        <v>597.4398385983602</v>
      </c>
      <c r="AC113" s="1">
        <f t="shared" si="104"/>
        <v>236303878.62108392</v>
      </c>
      <c r="AD113" s="36">
        <f t="shared" si="105"/>
        <v>65639.96628363447</v>
      </c>
      <c r="AE113" s="36">
        <f t="shared" si="28"/>
        <v>2734.998595151436</v>
      </c>
      <c r="AG113" s="1">
        <f t="shared" si="76"/>
        <v>162000000</v>
      </c>
      <c r="AH113" s="1">
        <f t="shared" si="106"/>
        <v>162000</v>
      </c>
      <c r="AI113" s="1">
        <f t="shared" si="107"/>
        <v>162162000</v>
      </c>
      <c r="AJ113" s="1">
        <f t="shared" si="108"/>
        <v>6458137438.240334</v>
      </c>
      <c r="AK113" s="1">
        <f t="shared" si="109"/>
        <v>6464595575.678575</v>
      </c>
      <c r="AL113" s="39">
        <f>+AJ113/('Volcano Summary'!C$8)*10^6</f>
        <v>448.3424876462023</v>
      </c>
      <c r="AM113" s="1">
        <f t="shared" si="77"/>
        <v>2734.998595151436</v>
      </c>
    </row>
    <row r="114" spans="1:39" ht="12.75" hidden="1">
      <c r="A114" s="1">
        <f t="shared" si="99"/>
        <v>2150783.4189540967</v>
      </c>
      <c r="B114" s="1">
        <f t="shared" si="100"/>
        <v>2759.550656832356</v>
      </c>
      <c r="C114" s="1">
        <f t="shared" si="101"/>
        <v>356</v>
      </c>
      <c r="D114" s="12">
        <f t="shared" si="78"/>
        <v>21.290215544369623</v>
      </c>
      <c r="E114" s="38">
        <f t="shared" si="70"/>
        <v>224777349.49622446</v>
      </c>
      <c r="F114" s="38">
        <f t="shared" si="71"/>
        <v>144520154.80776632</v>
      </c>
      <c r="G114" s="38">
        <f t="shared" si="72"/>
        <v>64262960.11930818</v>
      </c>
      <c r="H114" s="18">
        <f t="shared" si="79"/>
        <v>0.023484966554611946</v>
      </c>
      <c r="I114" s="50">
        <f t="shared" si="110"/>
        <v>0.051675092177136915</v>
      </c>
      <c r="J114" s="3">
        <f t="shared" si="80"/>
        <v>122.85878114865498</v>
      </c>
      <c r="K114" s="12">
        <f t="shared" si="111"/>
        <v>1.0984328309865032</v>
      </c>
      <c r="L114" s="3">
        <f t="shared" si="81"/>
        <v>1735.611025921424</v>
      </c>
      <c r="M114" s="12">
        <v>0.718</v>
      </c>
      <c r="N114" s="37">
        <f t="shared" si="82"/>
        <v>503.5866117754727</v>
      </c>
      <c r="O114" s="1">
        <f t="shared" si="73"/>
        <v>22997.374634542688</v>
      </c>
      <c r="P114">
        <f t="shared" si="83"/>
        <v>151.64885306042603</v>
      </c>
      <c r="Q114" s="1">
        <f t="shared" si="84"/>
        <v>76.36833209233647</v>
      </c>
      <c r="R114" s="1">
        <f>+Q114*1000/'Material Properties'!AE$35</f>
        <v>65492.44396172387</v>
      </c>
      <c r="S114" s="1">
        <f t="shared" si="85"/>
        <v>183.96753921832547</v>
      </c>
      <c r="T114" s="1">
        <f t="shared" si="86"/>
        <v>-170.84110677283502</v>
      </c>
      <c r="U114">
        <f t="shared" si="74"/>
        <v>-5.047572163612136E-05</v>
      </c>
      <c r="V114">
        <f>+'Material Properties'!AE$31+'Material Properties'!AE$33</f>
        <v>0.00029034311030761144</v>
      </c>
      <c r="W114">
        <f t="shared" si="102"/>
        <v>0.00023986738867149007</v>
      </c>
      <c r="X114" s="1">
        <f>+'Volcano Summary'!E$12*10^9/Q114/3600/24/365</f>
        <v>0</v>
      </c>
      <c r="Y114" s="3">
        <f t="shared" si="103"/>
        <v>4</v>
      </c>
      <c r="Z114" s="1">
        <f>+Y114*'Volcano Summary'!B$19*'Volcano Summary'!B$20/1000</f>
        <v>162000</v>
      </c>
      <c r="AA114" s="1">
        <f t="shared" si="75"/>
        <v>2121298.129231457</v>
      </c>
      <c r="AB114" s="3">
        <f t="shared" si="32"/>
        <v>589.2494803420715</v>
      </c>
      <c r="AC114" s="1">
        <f t="shared" si="104"/>
        <v>238425176.75031537</v>
      </c>
      <c r="AD114" s="36">
        <f t="shared" si="105"/>
        <v>66229.21576397654</v>
      </c>
      <c r="AE114" s="36">
        <f t="shared" si="28"/>
        <v>2759.550656832356</v>
      </c>
      <c r="AG114" s="1">
        <f t="shared" si="76"/>
        <v>162000000</v>
      </c>
      <c r="AH114" s="1">
        <f t="shared" si="106"/>
        <v>162000</v>
      </c>
      <c r="AI114" s="1">
        <f t="shared" si="107"/>
        <v>162162000</v>
      </c>
      <c r="AJ114" s="1">
        <f t="shared" si="108"/>
        <v>6620137438.240334</v>
      </c>
      <c r="AK114" s="1">
        <f t="shared" si="109"/>
        <v>6626757575.678575</v>
      </c>
      <c r="AL114" s="39">
        <f>+AJ114/('Volcano Summary'!C$8)*10^6</f>
        <v>459.5889938863164</v>
      </c>
      <c r="AM114" s="1">
        <f t="shared" si="77"/>
        <v>2759.550656832356</v>
      </c>
    </row>
    <row r="115" spans="1:39" ht="12.75" hidden="1">
      <c r="A115" s="1">
        <f t="shared" si="99"/>
        <v>2121298.129231457</v>
      </c>
      <c r="B115" s="1">
        <f t="shared" si="100"/>
        <v>2783.7697686666706</v>
      </c>
      <c r="C115" s="1">
        <f t="shared" si="101"/>
        <v>360</v>
      </c>
      <c r="D115" s="12">
        <f t="shared" si="78"/>
        <v>21.409489393833255</v>
      </c>
      <c r="E115" s="38">
        <f t="shared" si="70"/>
        <v>226036616.20917872</v>
      </c>
      <c r="F115" s="38">
        <f t="shared" si="71"/>
        <v>145329797.86436564</v>
      </c>
      <c r="G115" s="38">
        <f t="shared" si="72"/>
        <v>64622979.51955256</v>
      </c>
      <c r="H115" s="18">
        <f t="shared" si="79"/>
        <v>0.0233541300683247</v>
      </c>
      <c r="I115" s="50">
        <f t="shared" si="110"/>
        <v>0.051598251055017176</v>
      </c>
      <c r="J115" s="3">
        <f t="shared" si="80"/>
        <v>122.00322664369433</v>
      </c>
      <c r="K115" s="12">
        <f t="shared" si="111"/>
        <v>1.0962083892736054</v>
      </c>
      <c r="L115" s="3">
        <f t="shared" si="81"/>
        <v>1732.0962315211532</v>
      </c>
      <c r="M115" s="12">
        <v>0.718</v>
      </c>
      <c r="N115" s="37">
        <f t="shared" si="82"/>
        <v>509.24488831227563</v>
      </c>
      <c r="O115" s="1">
        <f t="shared" si="73"/>
        <v>23111.74633507561</v>
      </c>
      <c r="P115">
        <f t="shared" si="83"/>
        <v>152.02547922988308</v>
      </c>
      <c r="Q115" s="1">
        <f t="shared" si="84"/>
        <v>77.41819819104198</v>
      </c>
      <c r="R115" s="1">
        <f>+Q115*1000/'Material Properties'!AE$35</f>
        <v>66392.79486311124</v>
      </c>
      <c r="S115" s="1">
        <f t="shared" si="85"/>
        <v>184.424430175309</v>
      </c>
      <c r="T115" s="1">
        <f t="shared" si="86"/>
        <v>-166.64218850153202</v>
      </c>
      <c r="U115">
        <f t="shared" si="74"/>
        <v>-5.1754475294144624E-05</v>
      </c>
      <c r="V115">
        <f>+'Material Properties'!AE$31+'Material Properties'!AE$33</f>
        <v>0.00029034311030761144</v>
      </c>
      <c r="W115">
        <f t="shared" si="102"/>
        <v>0.0002385886350134668</v>
      </c>
      <c r="X115" s="1">
        <f>+'Volcano Summary'!E$12*10^9/Q115/3600/24/365</f>
        <v>0</v>
      </c>
      <c r="Y115" s="3">
        <f t="shared" si="103"/>
        <v>4</v>
      </c>
      <c r="Z115" s="1">
        <f>+Y115*'Volcano Summary'!B$19*'Volcano Summary'!B$20/1000</f>
        <v>162000</v>
      </c>
      <c r="AA115" s="1">
        <f t="shared" si="75"/>
        <v>2092531.262484806</v>
      </c>
      <c r="AB115" s="3">
        <f t="shared" si="32"/>
        <v>581.2586840235572</v>
      </c>
      <c r="AC115" s="1">
        <f t="shared" si="104"/>
        <v>240517708.0128002</v>
      </c>
      <c r="AD115" s="36">
        <f t="shared" si="105"/>
        <v>66810.4744480001</v>
      </c>
      <c r="AE115" s="36">
        <f t="shared" si="28"/>
        <v>2783.7697686666706</v>
      </c>
      <c r="AG115" s="1">
        <f t="shared" si="76"/>
        <v>162000000</v>
      </c>
      <c r="AH115" s="1">
        <f t="shared" si="106"/>
        <v>162000</v>
      </c>
      <c r="AI115" s="1">
        <f t="shared" si="107"/>
        <v>162162000</v>
      </c>
      <c r="AJ115" s="1">
        <f t="shared" si="108"/>
        <v>6782137438.240334</v>
      </c>
      <c r="AK115" s="1">
        <f t="shared" si="109"/>
        <v>6788919575.678575</v>
      </c>
      <c r="AL115" s="39">
        <f>+AJ115/('Volcano Summary'!C$8)*10^6</f>
        <v>470.8355001264306</v>
      </c>
      <c r="AM115" s="1">
        <f t="shared" si="77"/>
        <v>2783.7697686666706</v>
      </c>
    </row>
    <row r="116" spans="1:39" ht="12.75" hidden="1">
      <c r="A116" s="1">
        <f t="shared" si="99"/>
        <v>2092531.262484806</v>
      </c>
      <c r="B116" s="1">
        <f t="shared" si="100"/>
        <v>2807.663955883241</v>
      </c>
      <c r="C116" s="1">
        <f t="shared" si="101"/>
        <v>364</v>
      </c>
      <c r="D116" s="12">
        <f t="shared" si="78"/>
        <v>21.528102431092233</v>
      </c>
      <c r="E116" s="38">
        <f t="shared" si="70"/>
        <v>227288906.21419093</v>
      </c>
      <c r="F116" s="38">
        <f t="shared" si="71"/>
        <v>146134955.26031414</v>
      </c>
      <c r="G116" s="38">
        <f t="shared" si="72"/>
        <v>64981004.30643735</v>
      </c>
      <c r="H116" s="18">
        <f t="shared" si="79"/>
        <v>0.0232254561961703</v>
      </c>
      <c r="I116" s="50">
        <f t="shared" si="110"/>
        <v>0.05152248344583199</v>
      </c>
      <c r="J116" s="3">
        <f t="shared" si="80"/>
        <v>121.16331823890805</v>
      </c>
      <c r="K116" s="12">
        <f t="shared" si="111"/>
        <v>1.0940246274211611</v>
      </c>
      <c r="L116" s="3">
        <f t="shared" si="81"/>
        <v>1728.6457145280613</v>
      </c>
      <c r="M116" s="12">
        <v>0.718</v>
      </c>
      <c r="N116" s="37">
        <f t="shared" si="82"/>
        <v>514.9031648490788</v>
      </c>
      <c r="O116" s="1">
        <f t="shared" si="73"/>
        <v>23225.59760181271</v>
      </c>
      <c r="P116">
        <f t="shared" si="83"/>
        <v>152.3994671966169</v>
      </c>
      <c r="Q116" s="1">
        <f t="shared" si="84"/>
        <v>78.47096798085141</v>
      </c>
      <c r="R116" s="1">
        <f>+Q116*1000/'Material Properties'!AE$35</f>
        <v>67295.63593053595</v>
      </c>
      <c r="S116" s="1">
        <f t="shared" si="85"/>
        <v>184.87812068828558</v>
      </c>
      <c r="T116" s="1">
        <f t="shared" si="86"/>
        <v>-162.53526925168785</v>
      </c>
      <c r="U116">
        <f t="shared" si="74"/>
        <v>-5.30694819250312E-05</v>
      </c>
      <c r="V116">
        <f>+'Material Properties'!AE$31+'Material Properties'!AE$33</f>
        <v>0.00029034311030761144</v>
      </c>
      <c r="W116">
        <f t="shared" si="102"/>
        <v>0.00023727362838258024</v>
      </c>
      <c r="X116" s="1">
        <f>+'Volcano Summary'!E$12*10^9/Q116/3600/24/365</f>
        <v>0</v>
      </c>
      <c r="Y116" s="3">
        <f t="shared" si="103"/>
        <v>4</v>
      </c>
      <c r="Z116" s="1">
        <f>+Y116*'Volcano Summary'!B$19*'Volcano Summary'!B$20/1000</f>
        <v>162000</v>
      </c>
      <c r="AA116" s="1">
        <f t="shared" si="75"/>
        <v>2064457.775511721</v>
      </c>
      <c r="AB116" s="3">
        <f t="shared" si="32"/>
        <v>573.4604931977002</v>
      </c>
      <c r="AC116" s="1">
        <f t="shared" si="104"/>
        <v>242582165.7883119</v>
      </c>
      <c r="AD116" s="36">
        <f t="shared" si="105"/>
        <v>67383.93494119779</v>
      </c>
      <c r="AE116" s="36">
        <f t="shared" si="28"/>
        <v>2807.663955883241</v>
      </c>
      <c r="AG116" s="1">
        <f t="shared" si="76"/>
        <v>162000000</v>
      </c>
      <c r="AH116" s="1">
        <f t="shared" si="106"/>
        <v>162000</v>
      </c>
      <c r="AI116" s="1">
        <f t="shared" si="107"/>
        <v>162162000</v>
      </c>
      <c r="AJ116" s="1">
        <f t="shared" si="108"/>
        <v>6944137438.240334</v>
      </c>
      <c r="AK116" s="1">
        <f t="shared" si="109"/>
        <v>6951081575.678575</v>
      </c>
      <c r="AL116" s="39">
        <f>+AJ116/('Volcano Summary'!C$8)*10^6</f>
        <v>482.08200636654476</v>
      </c>
      <c r="AM116" s="1">
        <f t="shared" si="77"/>
        <v>2807.663955883241</v>
      </c>
    </row>
    <row r="117" spans="1:39" ht="12.75" hidden="1">
      <c r="A117" s="1">
        <f t="shared" si="99"/>
        <v>2064457.775511721</v>
      </c>
      <c r="B117" s="1">
        <f t="shared" si="100"/>
        <v>2831.2409669520034</v>
      </c>
      <c r="C117" s="1">
        <f t="shared" si="101"/>
        <v>368</v>
      </c>
      <c r="D117" s="12">
        <f t="shared" si="78"/>
        <v>21.646065519224038</v>
      </c>
      <c r="E117" s="38">
        <f t="shared" si="70"/>
        <v>228534334.20121142</v>
      </c>
      <c r="F117" s="38">
        <f t="shared" si="71"/>
        <v>146935700.73528978</v>
      </c>
      <c r="G117" s="38">
        <f t="shared" si="72"/>
        <v>65337067.26936819</v>
      </c>
      <c r="H117" s="18">
        <f t="shared" si="79"/>
        <v>0.02309888601029809</v>
      </c>
      <c r="I117" s="50">
        <f t="shared" si="110"/>
        <v>0.051447762478975</v>
      </c>
      <c r="J117" s="3">
        <f t="shared" si="80"/>
        <v>120.33860009867347</v>
      </c>
      <c r="K117" s="12">
        <f t="shared" si="111"/>
        <v>1.0918803602565512</v>
      </c>
      <c r="L117" s="3">
        <f t="shared" si="81"/>
        <v>1725.257602275375</v>
      </c>
      <c r="M117" s="12">
        <v>0.718</v>
      </c>
      <c r="N117" s="37">
        <f t="shared" si="82"/>
        <v>520.5614413858817</v>
      </c>
      <c r="O117" s="1">
        <f t="shared" si="73"/>
        <v>23338.93620312712</v>
      </c>
      <c r="P117">
        <f t="shared" si="83"/>
        <v>152.77086176076614</v>
      </c>
      <c r="Q117" s="1">
        <f t="shared" si="84"/>
        <v>79.5266199999477</v>
      </c>
      <c r="R117" s="1">
        <f>+Q117*1000/'Material Properties'!AE$35</f>
        <v>68200.94875863529</v>
      </c>
      <c r="S117" s="1">
        <f t="shared" si="85"/>
        <v>185.3286651049872</v>
      </c>
      <c r="T117" s="1">
        <f t="shared" si="86"/>
        <v>-158.5172900324153</v>
      </c>
      <c r="U117">
        <f t="shared" si="74"/>
        <v>-5.442232890970199E-05</v>
      </c>
      <c r="V117">
        <f>+'Material Properties'!AE$31+'Material Properties'!AE$33</f>
        <v>0.00029034311030761144</v>
      </c>
      <c r="W117">
        <f t="shared" si="102"/>
        <v>0.00023592078139790946</v>
      </c>
      <c r="X117" s="1">
        <f>+'Volcano Summary'!E$12*10^9/Q117/3600/24/365</f>
        <v>0</v>
      </c>
      <c r="Y117" s="3">
        <f t="shared" si="103"/>
        <v>4</v>
      </c>
      <c r="Z117" s="1">
        <f>+Y117*'Volcano Summary'!B$19*'Volcano Summary'!B$20/1000</f>
        <v>162000</v>
      </c>
      <c r="AA117" s="1">
        <f t="shared" si="75"/>
        <v>2037053.7563410408</v>
      </c>
      <c r="AB117" s="3">
        <f t="shared" si="32"/>
        <v>565.8482656502891</v>
      </c>
      <c r="AC117" s="1">
        <f t="shared" si="104"/>
        <v>244619219.54465294</v>
      </c>
      <c r="AD117" s="36">
        <f t="shared" si="105"/>
        <v>67949.78320684808</v>
      </c>
      <c r="AE117" s="36">
        <f t="shared" si="28"/>
        <v>2831.2409669520034</v>
      </c>
      <c r="AG117" s="1">
        <f t="shared" si="76"/>
        <v>162000000</v>
      </c>
      <c r="AH117" s="1">
        <f t="shared" si="106"/>
        <v>162000</v>
      </c>
      <c r="AI117" s="1">
        <f t="shared" si="107"/>
        <v>162162000</v>
      </c>
      <c r="AJ117" s="1">
        <f t="shared" si="108"/>
        <v>7106137438.240334</v>
      </c>
      <c r="AK117" s="1">
        <f t="shared" si="109"/>
        <v>7113243575.678575</v>
      </c>
      <c r="AL117" s="39">
        <f>+AJ117/('Volcano Summary'!C$8)*10^6</f>
        <v>493.32851260665893</v>
      </c>
      <c r="AM117" s="1">
        <f t="shared" si="77"/>
        <v>2831.2409669520034</v>
      </c>
    </row>
    <row r="118" spans="1:39" ht="12.75" hidden="1">
      <c r="A118" s="1">
        <f t="shared" si="99"/>
        <v>2037053.7563410408</v>
      </c>
      <c r="B118" s="1">
        <f t="shared" si="100"/>
        <v>2854.5082859529502</v>
      </c>
      <c r="C118" s="1">
        <f t="shared" si="101"/>
        <v>372</v>
      </c>
      <c r="D118" s="12">
        <f t="shared" si="78"/>
        <v>21.76338922689847</v>
      </c>
      <c r="E118" s="38">
        <f t="shared" si="70"/>
        <v>229773011.7518999</v>
      </c>
      <c r="F118" s="38">
        <f t="shared" si="71"/>
        <v>147732106.0305013</v>
      </c>
      <c r="G118" s="38">
        <f t="shared" si="72"/>
        <v>65691200.30910274</v>
      </c>
      <c r="H118" s="18">
        <f t="shared" si="79"/>
        <v>0.022974362806599292</v>
      </c>
      <c r="I118" s="50">
        <f t="shared" si="110"/>
        <v>0.05137406224435648</v>
      </c>
      <c r="J118" s="3">
        <f t="shared" si="80"/>
        <v>119.52863448506604</v>
      </c>
      <c r="K118" s="12">
        <f t="shared" si="111"/>
        <v>1.0897744496611719</v>
      </c>
      <c r="L118" s="3">
        <f t="shared" si="81"/>
        <v>1721.9300964453985</v>
      </c>
      <c r="M118" s="12">
        <v>0.718</v>
      </c>
      <c r="N118" s="37">
        <f t="shared" si="82"/>
        <v>526.2197179226848</v>
      </c>
      <c r="O118" s="1">
        <f t="shared" si="73"/>
        <v>23451.769709352327</v>
      </c>
      <c r="P118">
        <f t="shared" si="83"/>
        <v>153.13970650798677</v>
      </c>
      <c r="Q118" s="1">
        <f t="shared" si="84"/>
        <v>80.58513316139555</v>
      </c>
      <c r="R118" s="1">
        <f>+Q118*1000/'Material Properties'!AE$35</f>
        <v>69108.71526354011</v>
      </c>
      <c r="S118" s="1">
        <f t="shared" si="85"/>
        <v>185.776116299839</v>
      </c>
      <c r="T118" s="1">
        <f t="shared" si="86"/>
        <v>-154.58532676339428</v>
      </c>
      <c r="U118">
        <f t="shared" si="74"/>
        <v>-5.581469734717145E-05</v>
      </c>
      <c r="V118">
        <f>+'Material Properties'!AE$31+'Material Properties'!AE$33</f>
        <v>0.00029034311030761144</v>
      </c>
      <c r="W118">
        <f t="shared" si="102"/>
        <v>0.00023452841296044</v>
      </c>
      <c r="X118" s="1">
        <f>+'Volcano Summary'!E$12*10^9/Q118/3600/24/365</f>
        <v>0</v>
      </c>
      <c r="Y118" s="3">
        <f t="shared" si="103"/>
        <v>4</v>
      </c>
      <c r="Z118" s="1">
        <f>+Y118*'Volcano Summary'!B$19*'Volcano Summary'!B$20/1000</f>
        <v>162000</v>
      </c>
      <c r="AA118" s="1">
        <f t="shared" si="75"/>
        <v>2010296.361681839</v>
      </c>
      <c r="AB118" s="3">
        <f t="shared" si="32"/>
        <v>558.4156560227331</v>
      </c>
      <c r="AC118" s="1">
        <f t="shared" si="104"/>
        <v>246629515.9063348</v>
      </c>
      <c r="AD118" s="36">
        <f t="shared" si="105"/>
        <v>68508.1988628708</v>
      </c>
      <c r="AE118" s="36">
        <f t="shared" si="28"/>
        <v>2854.5082859529502</v>
      </c>
      <c r="AG118" s="1">
        <f t="shared" si="76"/>
        <v>161999999.99999997</v>
      </c>
      <c r="AH118" s="1">
        <f t="shared" si="106"/>
        <v>162000</v>
      </c>
      <c r="AI118" s="1">
        <f t="shared" si="107"/>
        <v>162161999.99999997</v>
      </c>
      <c r="AJ118" s="1">
        <f t="shared" si="108"/>
        <v>7268137438.240334</v>
      </c>
      <c r="AK118" s="1">
        <f t="shared" si="109"/>
        <v>7275405575.678575</v>
      </c>
      <c r="AL118" s="39">
        <f>+AJ118/('Volcano Summary'!C$8)*10^6</f>
        <v>504.57501884677305</v>
      </c>
      <c r="AM118" s="1">
        <f t="shared" si="77"/>
        <v>2854.5082859529502</v>
      </c>
    </row>
    <row r="119" spans="1:39" ht="12.75" hidden="1">
      <c r="A119" s="1">
        <f t="shared" si="99"/>
        <v>2010296.361681839</v>
      </c>
      <c r="B119" s="1">
        <f t="shared" si="100"/>
        <v>2877.4731442683715</v>
      </c>
      <c r="C119" s="1">
        <f t="shared" si="101"/>
        <v>376</v>
      </c>
      <c r="D119" s="12">
        <f t="shared" si="78"/>
        <v>21.880083839428522</v>
      </c>
      <c r="E119" s="38">
        <f t="shared" si="70"/>
        <v>231005047.45629796</v>
      </c>
      <c r="F119" s="38">
        <f t="shared" si="71"/>
        <v>148524240.96370238</v>
      </c>
      <c r="G119" s="38">
        <f t="shared" si="72"/>
        <v>66043434.471106805</v>
      </c>
      <c r="H119" s="18">
        <f t="shared" si="79"/>
        <v>0.02285183199796456</v>
      </c>
      <c r="I119" s="50">
        <f t="shared" si="110"/>
        <v>0.051301357748040365</v>
      </c>
      <c r="J119" s="3">
        <f t="shared" si="80"/>
        <v>118.7330008525696</v>
      </c>
      <c r="K119" s="12">
        <f t="shared" si="111"/>
        <v>1.0877058022166812</v>
      </c>
      <c r="L119" s="3">
        <f t="shared" si="81"/>
        <v>1718.6614693503966</v>
      </c>
      <c r="M119" s="12">
        <v>0.718</v>
      </c>
      <c r="N119" s="37">
        <f t="shared" si="82"/>
        <v>531.877994459488</v>
      </c>
      <c r="O119" s="1">
        <f t="shared" si="73"/>
        <v>23564.105499885478</v>
      </c>
      <c r="P119">
        <f t="shared" si="83"/>
        <v>153.50604385458405</v>
      </c>
      <c r="Q119" s="1">
        <f t="shared" si="84"/>
        <v>81.64648674278638</v>
      </c>
      <c r="R119" s="1">
        <f>+Q119*1000/'Material Properties'!AE$35</f>
        <v>70018.91767399435</v>
      </c>
      <c r="S119" s="1">
        <f t="shared" si="85"/>
        <v>186.22052572870837</v>
      </c>
      <c r="T119" s="1">
        <f t="shared" si="86"/>
        <v>-150.73658290827666</v>
      </c>
      <c r="U119">
        <f t="shared" si="74"/>
        <v>-5.724836907987291E-05</v>
      </c>
      <c r="V119">
        <f>+'Material Properties'!AE$31+'Material Properties'!AE$33</f>
        <v>0.00029034311030761144</v>
      </c>
      <c r="W119">
        <f t="shared" si="102"/>
        <v>0.00023309474122773852</v>
      </c>
      <c r="X119" s="1">
        <f>+'Volcano Summary'!E$12*10^9/Q119/3600/24/365</f>
        <v>0</v>
      </c>
      <c r="Y119" s="3">
        <f t="shared" si="103"/>
        <v>4</v>
      </c>
      <c r="Z119" s="1">
        <f>+Y119*'Volcano Summary'!B$19*'Volcano Summary'!B$20/1000</f>
        <v>162000</v>
      </c>
      <c r="AA119" s="1">
        <f t="shared" si="75"/>
        <v>1984163.7584523868</v>
      </c>
      <c r="AB119" s="3">
        <f t="shared" si="32"/>
        <v>551.1565995701075</v>
      </c>
      <c r="AC119" s="1">
        <f t="shared" si="104"/>
        <v>248613679.66478717</v>
      </c>
      <c r="AD119" s="36">
        <f t="shared" si="105"/>
        <v>69059.35546244092</v>
      </c>
      <c r="AE119" s="36">
        <f t="shared" si="28"/>
        <v>2877.4731442683715</v>
      </c>
      <c r="AG119" s="1">
        <f t="shared" si="76"/>
        <v>162000000</v>
      </c>
      <c r="AH119" s="1">
        <f t="shared" si="106"/>
        <v>162000</v>
      </c>
      <c r="AI119" s="1">
        <f t="shared" si="107"/>
        <v>162162000</v>
      </c>
      <c r="AJ119" s="1">
        <f t="shared" si="108"/>
        <v>7430137438.240334</v>
      </c>
      <c r="AK119" s="1">
        <f t="shared" si="109"/>
        <v>7437567575.678575</v>
      </c>
      <c r="AL119" s="39">
        <f>+AJ119/('Volcano Summary'!C$8)*10^6</f>
        <v>515.8215250868873</v>
      </c>
      <c r="AM119" s="1">
        <f t="shared" si="77"/>
        <v>2877.4731442683715</v>
      </c>
    </row>
    <row r="120" spans="1:39" ht="12.75" hidden="1">
      <c r="A120" s="1">
        <f t="shared" si="99"/>
        <v>1984163.7584523868</v>
      </c>
      <c r="B120" s="1">
        <f t="shared" si="100"/>
        <v>2900.1425316420195</v>
      </c>
      <c r="C120" s="1">
        <f t="shared" si="101"/>
        <v>380</v>
      </c>
      <c r="D120" s="12">
        <f t="shared" si="78"/>
        <v>21.996159369293583</v>
      </c>
      <c r="E120" s="38">
        <f t="shared" si="70"/>
        <v>232230547.02393094</v>
      </c>
      <c r="F120" s="38">
        <f t="shared" si="71"/>
        <v>149312173.5006244</v>
      </c>
      <c r="G120" s="38">
        <f t="shared" si="72"/>
        <v>66393799.97731787</v>
      </c>
      <c r="H120" s="18">
        <f t="shared" si="79"/>
        <v>0.022731241013737833</v>
      </c>
      <c r="I120" s="50">
        <f t="shared" si="110"/>
        <v>0.051229624870382295</v>
      </c>
      <c r="J120" s="3">
        <f t="shared" si="80"/>
        <v>117.95129499720377</v>
      </c>
      <c r="K120" s="12">
        <f t="shared" si="111"/>
        <v>1.08567336699273</v>
      </c>
      <c r="L120" s="3">
        <f t="shared" si="81"/>
        <v>1715.4500604370335</v>
      </c>
      <c r="M120" s="12">
        <v>0.718</v>
      </c>
      <c r="N120" s="37">
        <f t="shared" si="82"/>
        <v>537.536270996291</v>
      </c>
      <c r="O120" s="1">
        <f t="shared" si="73"/>
        <v>23675.950769963667</v>
      </c>
      <c r="P120">
        <f t="shared" si="83"/>
        <v>153.86991509051947</v>
      </c>
      <c r="Q120" s="1">
        <f t="shared" si="84"/>
        <v>82.71066037627376</v>
      </c>
      <c r="R120" s="1">
        <f>+Q120*1000/'Material Properties'!AE$35</f>
        <v>70931.53852280964</v>
      </c>
      <c r="S120" s="1">
        <f t="shared" si="85"/>
        <v>186.661943481078</v>
      </c>
      <c r="T120" s="1">
        <f t="shared" si="86"/>
        <v>-146.96838258552293</v>
      </c>
      <c r="U120">
        <f t="shared" si="74"/>
        <v>-5.8725234360541E-05</v>
      </c>
      <c r="V120">
        <f>+'Material Properties'!AE$31+'Material Properties'!AE$33</f>
        <v>0.00029034311030761144</v>
      </c>
      <c r="W120">
        <f t="shared" si="102"/>
        <v>0.00023161787594707045</v>
      </c>
      <c r="X120" s="1">
        <f>+'Volcano Summary'!E$12*10^9/Q120/3600/24/365</f>
        <v>0</v>
      </c>
      <c r="Y120" s="3">
        <f t="shared" si="103"/>
        <v>4</v>
      </c>
      <c r="Z120" s="1">
        <f>+Y120*'Volcano Summary'!B$19*'Volcano Summary'!B$20/1000</f>
        <v>162000</v>
      </c>
      <c r="AA120" s="1">
        <f t="shared" si="75"/>
        <v>1958635.0690831991</v>
      </c>
      <c r="AB120" s="3">
        <f t="shared" si="32"/>
        <v>544.0652969675554</v>
      </c>
      <c r="AC120" s="1">
        <f t="shared" si="104"/>
        <v>250572314.7338704</v>
      </c>
      <c r="AD120" s="36">
        <f t="shared" si="105"/>
        <v>69603.42075940847</v>
      </c>
      <c r="AE120" s="36">
        <f t="shared" si="28"/>
        <v>2900.1425316420195</v>
      </c>
      <c r="AG120" s="1">
        <f t="shared" si="76"/>
        <v>162000000</v>
      </c>
      <c r="AH120" s="1">
        <f t="shared" si="106"/>
        <v>162000</v>
      </c>
      <c r="AI120" s="1">
        <f t="shared" si="107"/>
        <v>162162000</v>
      </c>
      <c r="AJ120" s="1">
        <f t="shared" si="108"/>
        <v>7592137438.240334</v>
      </c>
      <c r="AK120" s="1">
        <f t="shared" si="109"/>
        <v>7599729575.678575</v>
      </c>
      <c r="AL120" s="39">
        <f>+AJ120/('Volcano Summary'!C$8)*10^6</f>
        <v>527.0680313270014</v>
      </c>
      <c r="AM120" s="1">
        <f t="shared" si="77"/>
        <v>2900.1425316420195</v>
      </c>
    </row>
    <row r="121" spans="1:39" ht="12.75" hidden="1">
      <c r="A121" s="1">
        <f t="shared" si="99"/>
        <v>1958635.0690831991</v>
      </c>
      <c r="B121" s="1">
        <f t="shared" si="100"/>
        <v>2922.523206645656</v>
      </c>
      <c r="C121" s="1">
        <f t="shared" si="101"/>
        <v>384</v>
      </c>
      <c r="D121" s="12">
        <f t="shared" si="78"/>
        <v>22.111625566165472</v>
      </c>
      <c r="E121" s="38">
        <f t="shared" si="70"/>
        <v>233449613.38966045</v>
      </c>
      <c r="F121" s="38">
        <f t="shared" si="71"/>
        <v>150095969.82303423</v>
      </c>
      <c r="G121" s="38">
        <f t="shared" si="72"/>
        <v>66742326.25640803</v>
      </c>
      <c r="H121" s="18">
        <f t="shared" si="79"/>
        <v>0.022612539204945863</v>
      </c>
      <c r="I121" s="50">
        <f t="shared" si="110"/>
        <v>0.05115884032650308</v>
      </c>
      <c r="J121" s="3">
        <f t="shared" si="80"/>
        <v>117.18312825626163</v>
      </c>
      <c r="K121" s="12">
        <f t="shared" si="111"/>
        <v>1.0836761334662803</v>
      </c>
      <c r="L121" s="3">
        <f t="shared" si="81"/>
        <v>1712.2942729987312</v>
      </c>
      <c r="M121" s="12">
        <v>0.718</v>
      </c>
      <c r="N121" s="37">
        <f t="shared" si="82"/>
        <v>543.1945475330941</v>
      </c>
      <c r="O121" s="1">
        <f t="shared" si="73"/>
        <v>23787.312537131475</v>
      </c>
      <c r="P121">
        <f t="shared" si="83"/>
        <v>154.23136042041344</v>
      </c>
      <c r="Q121" s="1">
        <f t="shared" si="84"/>
        <v>83.77763403898003</v>
      </c>
      <c r="R121" s="1">
        <f>+Q121*1000/'Material Properties'!AE$35</f>
        <v>71846.56063863817</v>
      </c>
      <c r="S121" s="1">
        <f t="shared" si="85"/>
        <v>187.1004183297869</v>
      </c>
      <c r="T121" s="1">
        <f t="shared" si="86"/>
        <v>-143.27816412098923</v>
      </c>
      <c r="U121">
        <f t="shared" si="74"/>
        <v>-6.0247300230045985E-05</v>
      </c>
      <c r="V121">
        <f>+'Material Properties'!AE$31+'Material Properties'!AE$33</f>
        <v>0.00029034311030761144</v>
      </c>
      <c r="W121">
        <f t="shared" si="102"/>
        <v>0.00023009581007756545</v>
      </c>
      <c r="X121" s="1">
        <f>+'Volcano Summary'!E$12*10^9/Q121/3600/24/365</f>
        <v>0</v>
      </c>
      <c r="Y121" s="3">
        <f t="shared" si="103"/>
        <v>4</v>
      </c>
      <c r="Z121" s="1">
        <f>+Y121*'Volcano Summary'!B$19*'Volcano Summary'!B$20/1000</f>
        <v>162000</v>
      </c>
      <c r="AA121" s="1">
        <f t="shared" si="75"/>
        <v>1933690.3203141866</v>
      </c>
      <c r="AB121" s="3">
        <f t="shared" si="32"/>
        <v>537.1362000872741</v>
      </c>
      <c r="AC121" s="1">
        <f t="shared" si="104"/>
        <v>252506005.0541846</v>
      </c>
      <c r="AD121" s="36">
        <f t="shared" si="105"/>
        <v>70140.55695949575</v>
      </c>
      <c r="AE121" s="36">
        <f t="shared" si="28"/>
        <v>2922.523206645656</v>
      </c>
      <c r="AG121" s="1">
        <f t="shared" si="76"/>
        <v>162000000</v>
      </c>
      <c r="AH121" s="1">
        <f t="shared" si="106"/>
        <v>162000</v>
      </c>
      <c r="AI121" s="1">
        <f t="shared" si="107"/>
        <v>162162000</v>
      </c>
      <c r="AJ121" s="1">
        <f t="shared" si="108"/>
        <v>7754137438.240334</v>
      </c>
      <c r="AK121" s="1">
        <f t="shared" si="109"/>
        <v>7761891575.678575</v>
      </c>
      <c r="AL121" s="39">
        <f>+AJ121/('Volcano Summary'!C$8)*10^6</f>
        <v>538.3145375671155</v>
      </c>
      <c r="AM121" s="1">
        <f t="shared" si="77"/>
        <v>2922.523206645656</v>
      </c>
    </row>
    <row r="122" spans="1:39" ht="12.75" hidden="1">
      <c r="A122" s="1">
        <f t="shared" si="99"/>
        <v>1933690.3203141866</v>
      </c>
      <c r="B122" s="1">
        <f t="shared" si="100"/>
        <v>2944.6217065904398</v>
      </c>
      <c r="C122" s="1">
        <f t="shared" si="101"/>
        <v>388</v>
      </c>
      <c r="D122" s="12">
        <f t="shared" si="78"/>
        <v>22.22649192646566</v>
      </c>
      <c r="E122" s="38">
        <f t="shared" si="70"/>
        <v>234662346.81458732</v>
      </c>
      <c r="F122" s="38">
        <f t="shared" si="71"/>
        <v>150875694.39360946</v>
      </c>
      <c r="G122" s="38">
        <f t="shared" si="72"/>
        <v>67089041.97263163</v>
      </c>
      <c r="H122" s="18">
        <f t="shared" si="79"/>
        <v>0.02249567775491539</v>
      </c>
      <c r="I122" s="50">
        <f t="shared" si="110"/>
        <v>0.051088981628944</v>
      </c>
      <c r="J122" s="3">
        <f t="shared" si="80"/>
        <v>116.42812675515165</v>
      </c>
      <c r="K122" s="12">
        <f t="shared" si="111"/>
        <v>1.0817131295633944</v>
      </c>
      <c r="L122" s="3">
        <f t="shared" si="81"/>
        <v>1709.1925710815408</v>
      </c>
      <c r="M122" s="12">
        <v>0.718</v>
      </c>
      <c r="N122" s="37">
        <f t="shared" si="82"/>
        <v>548.8528240698972</v>
      </c>
      <c r="O122" s="1">
        <f t="shared" si="73"/>
        <v>23898.197647416942</v>
      </c>
      <c r="P122">
        <f t="shared" si="83"/>
        <v>154.59041900265663</v>
      </c>
      <c r="Q122" s="1">
        <f t="shared" si="84"/>
        <v>84.8473880437568</v>
      </c>
      <c r="R122" s="1">
        <f>+Q122*1000/'Material Properties'!AE$35</f>
        <v>72763.96713804897</v>
      </c>
      <c r="S122" s="1">
        <f t="shared" si="85"/>
        <v>187.53599777847674</v>
      </c>
      <c r="T122" s="1">
        <f t="shared" si="86"/>
        <v>-139.66347400957716</v>
      </c>
      <c r="U122">
        <f t="shared" si="74"/>
        <v>-6.181669968429856E-05</v>
      </c>
      <c r="V122">
        <f>+'Material Properties'!AE$31+'Material Properties'!AE$33</f>
        <v>0.00029034311030761144</v>
      </c>
      <c r="W122">
        <f t="shared" si="102"/>
        <v>0.00022852641062331289</v>
      </c>
      <c r="X122" s="1">
        <f>+'Volcano Summary'!E$12*10^9/Q122/3600/24/365</f>
        <v>0</v>
      </c>
      <c r="Y122" s="3">
        <f t="shared" si="103"/>
        <v>4</v>
      </c>
      <c r="Z122" s="1">
        <f>+Y122*'Volcano Summary'!B$19*'Volcano Summary'!B$20/1000</f>
        <v>162000</v>
      </c>
      <c r="AA122" s="1">
        <f t="shared" si="75"/>
        <v>1909310.395229311</v>
      </c>
      <c r="AB122" s="3">
        <f t="shared" si="32"/>
        <v>530.3639986748086</v>
      </c>
      <c r="AC122" s="1">
        <f t="shared" si="104"/>
        <v>254415315.4494139</v>
      </c>
      <c r="AD122" s="36">
        <f t="shared" si="105"/>
        <v>70670.92095817055</v>
      </c>
      <c r="AE122" s="36">
        <f t="shared" si="28"/>
        <v>2944.6217065904398</v>
      </c>
      <c r="AG122" s="1">
        <f t="shared" si="76"/>
        <v>162000000</v>
      </c>
      <c r="AH122" s="1">
        <f t="shared" si="106"/>
        <v>162000</v>
      </c>
      <c r="AI122" s="1">
        <f t="shared" si="107"/>
        <v>162162000</v>
      </c>
      <c r="AJ122" s="1">
        <f t="shared" si="108"/>
        <v>7916137438.240334</v>
      </c>
      <c r="AK122" s="1">
        <f t="shared" si="109"/>
        <v>7924053575.678575</v>
      </c>
      <c r="AL122" s="39">
        <f>+AJ122/('Volcano Summary'!C$8)*10^6</f>
        <v>549.5610438072297</v>
      </c>
      <c r="AM122" s="1">
        <f t="shared" si="77"/>
        <v>2944.6217065904398</v>
      </c>
    </row>
    <row r="123" spans="1:39" ht="12.75" hidden="1">
      <c r="A123" s="1">
        <f t="shared" si="99"/>
        <v>1909310.395229311</v>
      </c>
      <c r="B123" s="1">
        <f t="shared" si="100"/>
        <v>2966.4443569179098</v>
      </c>
      <c r="C123" s="1">
        <f t="shared" si="101"/>
        <v>392</v>
      </c>
      <c r="D123" s="12">
        <f t="shared" si="78"/>
        <v>22.34076770248023</v>
      </c>
      <c r="E123" s="38">
        <f t="shared" si="70"/>
        <v>235868844.98228538</v>
      </c>
      <c r="F123" s="38">
        <f t="shared" si="71"/>
        <v>151651410.0178118</v>
      </c>
      <c r="G123" s="38">
        <f t="shared" si="72"/>
        <v>67433975.05333823</v>
      </c>
      <c r="H123" s="18">
        <f t="shared" si="79"/>
        <v>0.022380609594919647</v>
      </c>
      <c r="I123" s="50">
        <f t="shared" si="110"/>
        <v>0.05102002705236237</v>
      </c>
      <c r="J123" s="3">
        <f t="shared" si="80"/>
        <v>115.68593069811612</v>
      </c>
      <c r="K123" s="12">
        <f t="shared" si="111"/>
        <v>1.0797834198151022</v>
      </c>
      <c r="L123" s="3">
        <f t="shared" si="81"/>
        <v>1706.143476570267</v>
      </c>
      <c r="M123" s="12">
        <v>0.718</v>
      </c>
      <c r="N123" s="37">
        <f t="shared" si="82"/>
        <v>554.5111006067001</v>
      </c>
      <c r="O123" s="1">
        <f t="shared" si="73"/>
        <v>24008.612781231903</v>
      </c>
      <c r="P123">
        <f t="shared" si="83"/>
        <v>154.94712898673504</v>
      </c>
      <c r="Q123" s="1">
        <f t="shared" si="84"/>
        <v>85.91990303028277</v>
      </c>
      <c r="R123" s="1">
        <f>+Q123*1000/'Material Properties'!AE$35</f>
        <v>73683.74141789357</v>
      </c>
      <c r="S123" s="1">
        <f t="shared" si="85"/>
        <v>187.96872810687137</v>
      </c>
      <c r="T123" s="1">
        <f t="shared" si="86"/>
        <v>-136.1219612560035</v>
      </c>
      <c r="U123">
        <f t="shared" si="74"/>
        <v>-6.343570171830475E-05</v>
      </c>
      <c r="V123">
        <f>+'Material Properties'!AE$31+'Material Properties'!AE$33</f>
        <v>0.00029034311030761144</v>
      </c>
      <c r="W123">
        <f t="shared" si="102"/>
        <v>0.0002269074085893067</v>
      </c>
      <c r="X123" s="1">
        <f>+'Volcano Summary'!E$12*10^9/Q123/3600/24/365</f>
        <v>0</v>
      </c>
      <c r="Y123" s="3">
        <f t="shared" si="103"/>
        <v>4</v>
      </c>
      <c r="Z123" s="1">
        <f>+Y123*'Volcano Summary'!B$19*'Volcano Summary'!B$20/1000</f>
        <v>162000</v>
      </c>
      <c r="AA123" s="1">
        <f t="shared" si="75"/>
        <v>1885476.9882934173</v>
      </c>
      <c r="AB123" s="3">
        <f t="shared" si="32"/>
        <v>523.7436078592825</v>
      </c>
      <c r="AC123" s="1">
        <f t="shared" si="104"/>
        <v>256300792.4377073</v>
      </c>
      <c r="AD123" s="36">
        <f t="shared" si="105"/>
        <v>71194.66456602984</v>
      </c>
      <c r="AE123" s="36">
        <f t="shared" si="28"/>
        <v>2966.4443569179098</v>
      </c>
      <c r="AG123" s="1">
        <f t="shared" si="76"/>
        <v>162000000</v>
      </c>
      <c r="AH123" s="1">
        <f t="shared" si="106"/>
        <v>162000</v>
      </c>
      <c r="AI123" s="1">
        <f t="shared" si="107"/>
        <v>162162000</v>
      </c>
      <c r="AJ123" s="1">
        <f t="shared" si="108"/>
        <v>8078137438.240334</v>
      </c>
      <c r="AK123" s="1">
        <f t="shared" si="109"/>
        <v>8086215575.678575</v>
      </c>
      <c r="AL123" s="39">
        <f>+AJ123/('Volcano Summary'!C$8)*10^6</f>
        <v>560.8075500473439</v>
      </c>
      <c r="AM123" s="1">
        <f t="shared" si="77"/>
        <v>2966.4443569179098</v>
      </c>
    </row>
    <row r="124" spans="1:39" ht="12.75" hidden="1">
      <c r="A124" s="1">
        <f t="shared" si="99"/>
        <v>1885476.9882934173</v>
      </c>
      <c r="B124" s="1">
        <f t="shared" si="100"/>
        <v>2987.9972801028075</v>
      </c>
      <c r="C124" s="1">
        <f t="shared" si="101"/>
        <v>396</v>
      </c>
      <c r="D124" s="12">
        <f t="shared" si="78"/>
        <v>22.45446191105733</v>
      </c>
      <c r="E124" s="38">
        <f t="shared" si="70"/>
        <v>237069203.0906273</v>
      </c>
      <c r="F124" s="38">
        <f t="shared" si="71"/>
        <v>152423177.90292627</v>
      </c>
      <c r="G124" s="38">
        <f t="shared" si="72"/>
        <v>67777152.71522522</v>
      </c>
      <c r="H124" s="18">
        <f t="shared" si="79"/>
        <v>0.022267289324523213</v>
      </c>
      <c r="I124" s="50">
        <f t="shared" si="110"/>
        <v>0.05095195560013604</v>
      </c>
      <c r="J124" s="3">
        <f t="shared" si="80"/>
        <v>114.956193699849</v>
      </c>
      <c r="K124" s="12">
        <f t="shared" si="111"/>
        <v>1.0778861036196075</v>
      </c>
      <c r="L124" s="3">
        <f t="shared" si="81"/>
        <v>1703.1455664426148</v>
      </c>
      <c r="M124" s="12">
        <v>0.718</v>
      </c>
      <c r="N124" s="37">
        <f t="shared" si="82"/>
        <v>560.1693771435032</v>
      </c>
      <c r="O124" s="1">
        <f t="shared" si="73"/>
        <v>24118.564459011635</v>
      </c>
      <c r="P124">
        <f t="shared" si="83"/>
        <v>155.30152754886745</v>
      </c>
      <c r="Q124" s="1">
        <f t="shared" si="84"/>
        <v>86.99515995648368</v>
      </c>
      <c r="R124" s="1">
        <f>+Q124*1000/'Material Properties'!AE$35</f>
        <v>74605.86714794778</v>
      </c>
      <c r="S124" s="1">
        <f t="shared" si="85"/>
        <v>188.39865441400954</v>
      </c>
      <c r="T124" s="1">
        <f t="shared" si="86"/>
        <v>-132.65137206722443</v>
      </c>
      <c r="U124">
        <f t="shared" si="74"/>
        <v>-6.510672234687041E-05</v>
      </c>
      <c r="V124">
        <f>+'Material Properties'!AE$31+'Material Properties'!AE$33</f>
        <v>0.00029034311030761144</v>
      </c>
      <c r="W124">
        <f t="shared" si="102"/>
        <v>0.00022523638796074103</v>
      </c>
      <c r="X124" s="1">
        <f>+'Volcano Summary'!E$12*10^9/Q124/3600/24/365</f>
        <v>0</v>
      </c>
      <c r="Y124" s="3">
        <f t="shared" si="103"/>
        <v>4</v>
      </c>
      <c r="Z124" s="1">
        <f>+Y124*'Volcano Summary'!B$19*'Volcano Summary'!B$20/1000</f>
        <v>162000</v>
      </c>
      <c r="AA124" s="1">
        <f t="shared" si="75"/>
        <v>1862172.5631751802</v>
      </c>
      <c r="AB124" s="3">
        <f t="shared" si="32"/>
        <v>517.2701564375501</v>
      </c>
      <c r="AC124" s="1">
        <f t="shared" si="104"/>
        <v>258162965.00088248</v>
      </c>
      <c r="AD124" s="36">
        <f t="shared" si="105"/>
        <v>71711.93472246738</v>
      </c>
      <c r="AE124" s="36">
        <f t="shared" si="28"/>
        <v>2987.9972801028075</v>
      </c>
      <c r="AG124" s="1">
        <f t="shared" si="76"/>
        <v>162000000</v>
      </c>
      <c r="AH124" s="1">
        <f t="shared" si="106"/>
        <v>162000</v>
      </c>
      <c r="AI124" s="1">
        <f t="shared" si="107"/>
        <v>162162000</v>
      </c>
      <c r="AJ124" s="1">
        <f t="shared" si="108"/>
        <v>8240137438.240334</v>
      </c>
      <c r="AK124" s="1">
        <f t="shared" si="109"/>
        <v>8248377575.678575</v>
      </c>
      <c r="AL124" s="39">
        <f>+AJ124/('Volcano Summary'!C$8)*10^6</f>
        <v>572.054056287458</v>
      </c>
      <c r="AM124" s="1">
        <f t="shared" si="77"/>
        <v>2987.9972801028075</v>
      </c>
    </row>
    <row r="125" spans="1:39" ht="12.75" hidden="1">
      <c r="A125" s="1">
        <f t="shared" si="99"/>
        <v>1862172.5631751802</v>
      </c>
      <c r="B125" s="1">
        <f t="shared" si="100"/>
        <v>3030.575528092568</v>
      </c>
      <c r="C125" s="1">
        <f t="shared" si="101"/>
        <v>400</v>
      </c>
      <c r="D125" s="12">
        <f t="shared" si="78"/>
        <v>22.56758334191025</v>
      </c>
      <c r="E125" s="38">
        <f t="shared" si="70"/>
        <v>238263513.93944654</v>
      </c>
      <c r="F125" s="38">
        <f t="shared" si="71"/>
        <v>153191057.71442324</v>
      </c>
      <c r="G125" s="38">
        <f t="shared" si="72"/>
        <v>68118601.48939992</v>
      </c>
      <c r="H125" s="18">
        <f t="shared" si="79"/>
        <v>0.02215567313631895</v>
      </c>
      <c r="I125" s="50">
        <f t="shared" si="110"/>
        <v>0.050884746972755406</v>
      </c>
      <c r="J125" s="3">
        <f t="shared" si="80"/>
        <v>114.2385821552664</v>
      </c>
      <c r="K125" s="12">
        <f t="shared" si="111"/>
        <v>1.0760203136036928</v>
      </c>
      <c r="L125" s="3">
        <f t="shared" si="81"/>
        <v>1700.1974701800812</v>
      </c>
      <c r="M125" s="12">
        <v>0.718</v>
      </c>
      <c r="N125" s="37">
        <f t="shared" si="82"/>
        <v>565.8276536803062</v>
      </c>
      <c r="O125" s="1">
        <f t="shared" si="73"/>
        <v>24228.059046608014</v>
      </c>
      <c r="P125">
        <f t="shared" si="83"/>
        <v>155.65365092604804</v>
      </c>
      <c r="Q125" s="1">
        <f t="shared" si="84"/>
        <v>88.07314009025919</v>
      </c>
      <c r="R125" s="1">
        <f>+Q125*1000/'Material Properties'!AE$35</f>
        <v>75530.32826381689</v>
      </c>
      <c r="S125" s="1">
        <f t="shared" si="85"/>
        <v>188.82582065954222</v>
      </c>
      <c r="T125" s="1">
        <f t="shared" si="86"/>
        <v>-129.2495448712948</v>
      </c>
      <c r="U125">
        <f t="shared" si="74"/>
        <v>-6.683233671456855E-05</v>
      </c>
      <c r="V125">
        <f>+'Material Properties'!AE$31+'Material Properties'!AE$33</f>
        <v>0.00029034311030761144</v>
      </c>
      <c r="W125">
        <f t="shared" si="102"/>
        <v>0.00022351077359304288</v>
      </c>
      <c r="X125" s="1">
        <f>+'Volcano Summary'!E$12*10^9/Q125/3600/24/365</f>
        <v>0</v>
      </c>
      <c r="Y125" s="3">
        <f t="shared" si="103"/>
        <v>8</v>
      </c>
      <c r="Z125" s="1">
        <f>+Y125*'Volcano Summary'!B$19*'Volcano Summary'!B$20/1000</f>
        <v>324000</v>
      </c>
      <c r="AA125" s="1">
        <f t="shared" si="75"/>
        <v>3678760.626315334</v>
      </c>
      <c r="AB125" s="3">
        <f t="shared" si="32"/>
        <v>1021.8779517542594</v>
      </c>
      <c r="AC125" s="1">
        <f t="shared" si="104"/>
        <v>261841725.6271978</v>
      </c>
      <c r="AD125" s="36">
        <f t="shared" si="105"/>
        <v>72733.81267422164</v>
      </c>
      <c r="AE125" s="36">
        <f t="shared" si="28"/>
        <v>3030.575528092568</v>
      </c>
      <c r="AG125" s="1">
        <f t="shared" si="76"/>
        <v>324000000</v>
      </c>
      <c r="AH125" s="1">
        <f t="shared" si="106"/>
        <v>324000</v>
      </c>
      <c r="AI125" s="1">
        <f t="shared" si="107"/>
        <v>324324000</v>
      </c>
      <c r="AJ125" s="1">
        <f t="shared" si="108"/>
        <v>8564137438.240334</v>
      </c>
      <c r="AK125" s="1">
        <f t="shared" si="109"/>
        <v>8572701575.678575</v>
      </c>
      <c r="AL125" s="39">
        <f>+AJ125/('Volcano Summary'!C$8)*10^6</f>
        <v>594.5470687676864</v>
      </c>
      <c r="AM125" s="1">
        <f t="shared" si="77"/>
        <v>3030.575528092568</v>
      </c>
    </row>
    <row r="126" spans="1:39" ht="12.75" hidden="1">
      <c r="A126" s="1">
        <f t="shared" si="99"/>
        <v>3678760.626315334</v>
      </c>
      <c r="B126" s="1">
        <f t="shared" si="100"/>
        <v>3072.1326701934886</v>
      </c>
      <c r="C126" s="1">
        <f>+C125+8</f>
        <v>408</v>
      </c>
      <c r="D126" s="12">
        <f t="shared" si="78"/>
        <v>22.792141940852034</v>
      </c>
      <c r="E126" s="38">
        <f t="shared" si="70"/>
        <v>240634353.56629422</v>
      </c>
      <c r="F126" s="38">
        <f t="shared" si="71"/>
        <v>154715384.38997272</v>
      </c>
      <c r="G126" s="38">
        <f t="shared" si="72"/>
        <v>68796415.21365128</v>
      </c>
      <c r="H126" s="18">
        <f t="shared" si="79"/>
        <v>0.02193738531892052</v>
      </c>
      <c r="I126" s="50">
        <f t="shared" si="110"/>
        <v>0.050752840302026585</v>
      </c>
      <c r="J126" s="3">
        <f t="shared" si="80"/>
        <v>112.83846137351956</v>
      </c>
      <c r="K126" s="12">
        <f t="shared" si="111"/>
        <v>1.072379999571151</v>
      </c>
      <c r="L126" s="3">
        <f t="shared" si="81"/>
        <v>1694.4454851752068</v>
      </c>
      <c r="M126" s="12">
        <v>0.718</v>
      </c>
      <c r="N126" s="37">
        <f t="shared" si="82"/>
        <v>577.1442067539124</v>
      </c>
      <c r="O126" s="1">
        <f t="shared" si="73"/>
        <v>24445.70167247701</v>
      </c>
      <c r="P126">
        <f t="shared" si="83"/>
        <v>156.35121257117584</v>
      </c>
      <c r="Q126" s="1">
        <f t="shared" si="84"/>
        <v>90.23719655440361</v>
      </c>
      <c r="R126" s="1">
        <f>+Q126*1000/'Material Properties'!AE$35</f>
        <v>77386.19368374803</v>
      </c>
      <c r="S126" s="1">
        <f t="shared" si="85"/>
        <v>189.6720433425197</v>
      </c>
      <c r="T126" s="1">
        <f t="shared" si="86"/>
        <v>-122.64396349032017</v>
      </c>
      <c r="U126">
        <f t="shared" si="74"/>
        <v>-7.045852421818044E-05</v>
      </c>
      <c r="V126">
        <f>+'Material Properties'!AE$31+'Material Properties'!AE$33</f>
        <v>0.00029034311030761144</v>
      </c>
      <c r="W126">
        <f t="shared" si="102"/>
        <v>0.000219884586089431</v>
      </c>
      <c r="X126" s="1">
        <f>+'Volcano Summary'!E$12*10^9/Q126/3600/24/365</f>
        <v>0</v>
      </c>
      <c r="Y126" s="3">
        <f t="shared" si="103"/>
        <v>8</v>
      </c>
      <c r="Z126" s="1">
        <f>+Y126*'Volcano Summary'!B$19*'Volcano Summary'!B$20/1000</f>
        <v>324000</v>
      </c>
      <c r="AA126" s="1">
        <f t="shared" si="75"/>
        <v>3590537.0775194885</v>
      </c>
      <c r="AB126" s="3">
        <f t="shared" si="32"/>
        <v>997.3714104220801</v>
      </c>
      <c r="AC126" s="1">
        <f t="shared" si="104"/>
        <v>265432262.70471728</v>
      </c>
      <c r="AD126" s="36">
        <f t="shared" si="105"/>
        <v>73731.18408464373</v>
      </c>
      <c r="AE126" s="36">
        <f t="shared" si="28"/>
        <v>3072.1326701934886</v>
      </c>
      <c r="AG126" s="1">
        <f t="shared" si="76"/>
        <v>324000000</v>
      </c>
      <c r="AH126" s="1">
        <f t="shared" si="106"/>
        <v>324000</v>
      </c>
      <c r="AI126" s="1">
        <f t="shared" si="107"/>
        <v>324324000</v>
      </c>
      <c r="AJ126" s="1">
        <f t="shared" si="108"/>
        <v>8888137438.240334</v>
      </c>
      <c r="AK126" s="1">
        <f t="shared" si="109"/>
        <v>8897025575.678574</v>
      </c>
      <c r="AL126" s="39">
        <f>+AJ126/('Volcano Summary'!C$8)*10^6</f>
        <v>617.0400812479147</v>
      </c>
      <c r="AM126" s="1">
        <f t="shared" si="77"/>
        <v>3072.1326701934886</v>
      </c>
    </row>
    <row r="127" spans="1:39" ht="12.75" hidden="1">
      <c r="A127" s="1">
        <f t="shared" si="99"/>
        <v>3590537.0775194885</v>
      </c>
      <c r="B127" s="1">
        <f t="shared" si="100"/>
        <v>3112.7118471690596</v>
      </c>
      <c r="C127" s="1">
        <f aca="true" t="shared" si="112" ref="C127:C175">+C126+8</f>
        <v>416</v>
      </c>
      <c r="D127" s="12">
        <f t="shared" si="78"/>
        <v>23.014509567006368</v>
      </c>
      <c r="E127" s="38">
        <f t="shared" si="70"/>
        <v>242982061.39088488</v>
      </c>
      <c r="F127" s="38">
        <f t="shared" si="71"/>
        <v>156224838.51875252</v>
      </c>
      <c r="G127" s="38">
        <f t="shared" si="72"/>
        <v>69467615.64662015</v>
      </c>
      <c r="H127" s="18">
        <f t="shared" si="79"/>
        <v>0.021725424934398805</v>
      </c>
      <c r="I127" s="50">
        <f t="shared" si="110"/>
        <v>0.050624157487376815</v>
      </c>
      <c r="J127" s="3">
        <f t="shared" si="80"/>
        <v>111.48313333591882</v>
      </c>
      <c r="K127" s="12">
        <f t="shared" si="111"/>
        <v>1.068856146673389</v>
      </c>
      <c r="L127" s="3">
        <f t="shared" si="81"/>
        <v>1688.8775180036612</v>
      </c>
      <c r="M127" s="12">
        <v>0.718</v>
      </c>
      <c r="N127" s="37">
        <f t="shared" si="82"/>
        <v>588.4607598275185</v>
      </c>
      <c r="O127" s="1">
        <f t="shared" si="73"/>
        <v>24661.5886846098</v>
      </c>
      <c r="P127">
        <f t="shared" si="83"/>
        <v>157.04008623472478</v>
      </c>
      <c r="Q127" s="1">
        <f t="shared" si="84"/>
        <v>92.41192846906517</v>
      </c>
      <c r="R127" s="1">
        <f>+Q127*1000/'Material Properties'!AE$35</f>
        <v>79251.21422499196</v>
      </c>
      <c r="S127" s="1">
        <f t="shared" si="85"/>
        <v>190.50772650238451</v>
      </c>
      <c r="T127" s="1">
        <f t="shared" si="86"/>
        <v>-116.28959809304934</v>
      </c>
      <c r="U127">
        <f t="shared" si="74"/>
        <v>-7.433858980150744E-05</v>
      </c>
      <c r="V127">
        <f>+'Material Properties'!AE$31+'Material Properties'!AE$33</f>
        <v>0.00029034311030761144</v>
      </c>
      <c r="W127">
        <f t="shared" si="102"/>
        <v>0.00021600452050610398</v>
      </c>
      <c r="X127" s="1">
        <f>+'Volcano Summary'!E$12*10^9/Q127/3600/24/365</f>
        <v>0</v>
      </c>
      <c r="Y127" s="3">
        <f t="shared" si="103"/>
        <v>8</v>
      </c>
      <c r="Z127" s="1">
        <f>+Y127*'Volcano Summary'!B$19*'Volcano Summary'!B$20/1000</f>
        <v>324000</v>
      </c>
      <c r="AA127" s="1">
        <f t="shared" si="75"/>
        <v>3506040.8906893306</v>
      </c>
      <c r="AB127" s="3">
        <f t="shared" si="32"/>
        <v>973.9002474137029</v>
      </c>
      <c r="AC127" s="1">
        <f t="shared" si="104"/>
        <v>268938303.5954066</v>
      </c>
      <c r="AD127" s="36">
        <f t="shared" si="105"/>
        <v>74705.08433205743</v>
      </c>
      <c r="AE127" s="36">
        <f t="shared" si="28"/>
        <v>3112.7118471690596</v>
      </c>
      <c r="AG127" s="1">
        <f t="shared" si="76"/>
        <v>324000000</v>
      </c>
      <c r="AH127" s="1">
        <f t="shared" si="106"/>
        <v>324000</v>
      </c>
      <c r="AI127" s="1">
        <f t="shared" si="107"/>
        <v>324324000</v>
      </c>
      <c r="AJ127" s="1">
        <f t="shared" si="108"/>
        <v>9212137438.240334</v>
      </c>
      <c r="AK127" s="1">
        <f t="shared" si="109"/>
        <v>9221349575.678574</v>
      </c>
      <c r="AL127" s="39">
        <f>+AJ127/('Volcano Summary'!C$8)*10^6</f>
        <v>639.533093728143</v>
      </c>
      <c r="AM127" s="1">
        <f t="shared" si="77"/>
        <v>3112.7118471690596</v>
      </c>
    </row>
    <row r="128" spans="1:39" ht="12.75" hidden="1">
      <c r="A128" s="1">
        <f t="shared" si="99"/>
        <v>3506040.8906893306</v>
      </c>
      <c r="B128" s="1">
        <f t="shared" si="100"/>
        <v>3152.353613990843</v>
      </c>
      <c r="C128" s="1">
        <f t="shared" si="112"/>
        <v>424</v>
      </c>
      <c r="D128" s="12">
        <f t="shared" si="78"/>
        <v>23.23474912642073</v>
      </c>
      <c r="E128" s="38">
        <f t="shared" si="70"/>
        <v>245307301.56124422</v>
      </c>
      <c r="F128" s="38">
        <f t="shared" si="71"/>
        <v>157719847.1134295</v>
      </c>
      <c r="G128" s="38">
        <f t="shared" si="72"/>
        <v>70132392.66561478</v>
      </c>
      <c r="H128" s="18">
        <f t="shared" si="79"/>
        <v>0.021519492088315224</v>
      </c>
      <c r="I128" s="50">
        <f t="shared" si="110"/>
        <v>0.05049855836913516</v>
      </c>
      <c r="J128" s="3">
        <f t="shared" si="80"/>
        <v>110.17033272959287</v>
      </c>
      <c r="K128" s="12">
        <f t="shared" si="111"/>
        <v>1.0654428650969416</v>
      </c>
      <c r="L128" s="3">
        <f t="shared" si="81"/>
        <v>1683.4842622928536</v>
      </c>
      <c r="M128" s="12">
        <v>0.718</v>
      </c>
      <c r="N128" s="37">
        <f t="shared" si="82"/>
        <v>599.7773129011247</v>
      </c>
      <c r="O128" s="1">
        <f t="shared" si="73"/>
        <v>24875.765943636976</v>
      </c>
      <c r="P128">
        <f t="shared" si="83"/>
        <v>157.72053114175395</v>
      </c>
      <c r="Q128" s="1">
        <f t="shared" si="84"/>
        <v>94.59719635753935</v>
      </c>
      <c r="R128" s="1">
        <f>+Q128*1000/'Material Properties'!AE$35</f>
        <v>81125.27027422197</v>
      </c>
      <c r="S128" s="1">
        <f t="shared" si="85"/>
        <v>191.33318460901407</v>
      </c>
      <c r="T128" s="1">
        <f t="shared" si="86"/>
        <v>-110.17203347005557</v>
      </c>
      <c r="U128">
        <f t="shared" si="74"/>
        <v>-7.850041522610312E-05</v>
      </c>
      <c r="V128">
        <f>+'Material Properties'!AE$31+'Material Properties'!AE$33</f>
        <v>0.00029034311030761144</v>
      </c>
      <c r="W128">
        <f t="shared" si="102"/>
        <v>0.0002118426950815083</v>
      </c>
      <c r="X128" s="1">
        <f>+'Volcano Summary'!E$12*10^9/Q128/3600/24/365</f>
        <v>0</v>
      </c>
      <c r="Y128" s="3">
        <f t="shared" si="103"/>
        <v>8</v>
      </c>
      <c r="Z128" s="1">
        <f>+Y128*'Volcano Summary'!B$19*'Volcano Summary'!B$20/1000</f>
        <v>324000</v>
      </c>
      <c r="AA128" s="1">
        <f t="shared" si="75"/>
        <v>3425048.6534020556</v>
      </c>
      <c r="AB128" s="3">
        <f t="shared" si="32"/>
        <v>951.4024037227932</v>
      </c>
      <c r="AC128" s="1">
        <f t="shared" si="104"/>
        <v>272363352.2488086</v>
      </c>
      <c r="AD128" s="36">
        <f t="shared" si="105"/>
        <v>75656.48673578023</v>
      </c>
      <c r="AE128" s="36">
        <f t="shared" si="28"/>
        <v>3152.353613990843</v>
      </c>
      <c r="AG128" s="1">
        <f t="shared" si="76"/>
        <v>324000000</v>
      </c>
      <c r="AH128" s="1">
        <f t="shared" si="106"/>
        <v>324000</v>
      </c>
      <c r="AI128" s="1">
        <f t="shared" si="107"/>
        <v>324324000</v>
      </c>
      <c r="AJ128" s="1">
        <f t="shared" si="108"/>
        <v>9536137438.240334</v>
      </c>
      <c r="AK128" s="1">
        <f t="shared" si="109"/>
        <v>9545673575.678574</v>
      </c>
      <c r="AL128" s="39">
        <f>+AJ128/('Volcano Summary'!C$8)*10^6</f>
        <v>662.0261062083712</v>
      </c>
      <c r="AM128" s="1">
        <f t="shared" si="77"/>
        <v>3152.353613990843</v>
      </c>
    </row>
    <row r="129" spans="1:39" ht="12.75" hidden="1">
      <c r="A129" s="1">
        <f t="shared" si="99"/>
        <v>3425048.6534020556</v>
      </c>
      <c r="B129" s="1">
        <f t="shared" si="100"/>
        <v>3191.0961390718817</v>
      </c>
      <c r="C129" s="1">
        <f t="shared" si="112"/>
        <v>432</v>
      </c>
      <c r="D129" s="12">
        <f t="shared" si="78"/>
        <v>23.452920571340155</v>
      </c>
      <c r="E129" s="38">
        <f t="shared" si="70"/>
        <v>247610707.03981003</v>
      </c>
      <c r="F129" s="38">
        <f t="shared" si="71"/>
        <v>159200817.13595834</v>
      </c>
      <c r="G129" s="38">
        <f t="shared" si="72"/>
        <v>70790927.2321066</v>
      </c>
      <c r="H129" s="18">
        <f t="shared" si="79"/>
        <v>0.021319306415551846</v>
      </c>
      <c r="I129" s="50">
        <f t="shared" si="110"/>
        <v>0.05037591142446969</v>
      </c>
      <c r="J129" s="3">
        <f t="shared" si="80"/>
        <v>108.89794916209681</v>
      </c>
      <c r="K129" s="12">
        <f t="shared" si="111"/>
        <v>1.0621346678214518</v>
      </c>
      <c r="L129" s="3">
        <f t="shared" si="81"/>
        <v>1678.2570481152634</v>
      </c>
      <c r="M129" s="12">
        <v>0.718</v>
      </c>
      <c r="N129" s="37">
        <f t="shared" si="82"/>
        <v>611.0938659747306</v>
      </c>
      <c r="O129" s="1">
        <f t="shared" si="73"/>
        <v>25088.277281252445</v>
      </c>
      <c r="P129">
        <f t="shared" si="83"/>
        <v>158.3927942845016</v>
      </c>
      <c r="Q129" s="1">
        <f t="shared" si="84"/>
        <v>96.7928650018563</v>
      </c>
      <c r="R129" s="1">
        <f>+Q129*1000/'Material Properties'!AE$35</f>
        <v>83008.24587034438</v>
      </c>
      <c r="S129" s="1">
        <f t="shared" si="85"/>
        <v>192.14871729246386</v>
      </c>
      <c r="T129" s="1">
        <f t="shared" si="86"/>
        <v>-104.27794420365217</v>
      </c>
      <c r="U129">
        <f t="shared" si="74"/>
        <v>-8.297611319394913E-05</v>
      </c>
      <c r="V129">
        <f>+'Material Properties'!AE$31+'Material Properties'!AE$33</f>
        <v>0.00029034311030761144</v>
      </c>
      <c r="W129">
        <f t="shared" si="102"/>
        <v>0.00020736699711366231</v>
      </c>
      <c r="X129" s="1">
        <f>+'Volcano Summary'!E$12*10^9/Q129/3600/24/365</f>
        <v>0</v>
      </c>
      <c r="Y129" s="3">
        <f t="shared" si="103"/>
        <v>8</v>
      </c>
      <c r="Z129" s="1">
        <f>+Y129*'Volcano Summary'!B$19*'Volcano Summary'!B$20/1000</f>
        <v>324000</v>
      </c>
      <c r="AA129" s="1">
        <f t="shared" si="75"/>
        <v>3347354.167001734</v>
      </c>
      <c r="AB129" s="3">
        <f t="shared" si="32"/>
        <v>929.8206019449261</v>
      </c>
      <c r="AC129" s="1">
        <f t="shared" si="104"/>
        <v>275710706.41581035</v>
      </c>
      <c r="AD129" s="36">
        <f t="shared" si="105"/>
        <v>76586.30733772516</v>
      </c>
      <c r="AE129" s="36">
        <f t="shared" si="28"/>
        <v>3191.0961390718817</v>
      </c>
      <c r="AG129" s="1">
        <f t="shared" si="76"/>
        <v>324000000</v>
      </c>
      <c r="AH129" s="1">
        <f t="shared" si="106"/>
        <v>324000</v>
      </c>
      <c r="AI129" s="1">
        <f t="shared" si="107"/>
        <v>324324000</v>
      </c>
      <c r="AJ129" s="1">
        <f t="shared" si="108"/>
        <v>9860137438.240334</v>
      </c>
      <c r="AK129" s="1">
        <f t="shared" si="109"/>
        <v>9869997575.678574</v>
      </c>
      <c r="AL129" s="39">
        <f>+AJ129/('Volcano Summary'!C$8)*10^6</f>
        <v>684.5191186885996</v>
      </c>
      <c r="AM129" s="1">
        <f t="shared" si="77"/>
        <v>3191.0961390718817</v>
      </c>
    </row>
    <row r="130" spans="1:39" ht="12.75" hidden="1">
      <c r="A130" s="1">
        <f t="shared" si="99"/>
        <v>3347354.167001734</v>
      </c>
      <c r="B130" s="1">
        <f t="shared" si="100"/>
        <v>3228.9753848537603</v>
      </c>
      <c r="C130" s="1">
        <f t="shared" si="112"/>
        <v>440</v>
      </c>
      <c r="D130" s="12">
        <f t="shared" si="78"/>
        <v>23.66908109081279</v>
      </c>
      <c r="E130" s="38">
        <f t="shared" si="70"/>
        <v>249892881.61580375</v>
      </c>
      <c r="F130" s="38">
        <f t="shared" si="71"/>
        <v>160668136.79143146</v>
      </c>
      <c r="G130" s="38">
        <f t="shared" si="72"/>
        <v>71443391.96705912</v>
      </c>
      <c r="H130" s="18">
        <f t="shared" si="79"/>
        <v>0.02112460547503368</v>
      </c>
      <c r="I130" s="50">
        <f t="shared" si="110"/>
        <v>0.050256093084858414</v>
      </c>
      <c r="J130" s="3">
        <f t="shared" si="80"/>
        <v>107.66401391342023</v>
      </c>
      <c r="K130" s="12">
        <f t="shared" si="111"/>
        <v>1.0589264361748927</v>
      </c>
      <c r="L130" s="3">
        <f t="shared" si="81"/>
        <v>1673.1877875629568</v>
      </c>
      <c r="M130" s="12">
        <v>0.718</v>
      </c>
      <c r="N130" s="37">
        <f t="shared" si="82"/>
        <v>622.410419048337</v>
      </c>
      <c r="O130" s="1">
        <f t="shared" si="73"/>
        <v>25299.164625506528</v>
      </c>
      <c r="P130">
        <f t="shared" si="83"/>
        <v>159.05711120697035</v>
      </c>
      <c r="Q130" s="1">
        <f t="shared" si="84"/>
        <v>98.99880323894834</v>
      </c>
      <c r="R130" s="1">
        <f>+Q130*1000/'Material Properties'!AE$35</f>
        <v>84900.02852969452</v>
      </c>
      <c r="S130" s="1">
        <f t="shared" si="85"/>
        <v>192.95461029476027</v>
      </c>
      <c r="T130" s="1">
        <f t="shared" si="86"/>
        <v>-98.59499337243847</v>
      </c>
      <c r="U130">
        <f t="shared" si="74"/>
        <v>-8.780286178329361E-05</v>
      </c>
      <c r="V130">
        <f>+'Material Properties'!AE$31+'Material Properties'!AE$33</f>
        <v>0.00029034311030761144</v>
      </c>
      <c r="W130">
        <f t="shared" si="102"/>
        <v>0.00020254024852431785</v>
      </c>
      <c r="X130" s="1">
        <f>+'Volcano Summary'!E$12*10^9/Q130/3600/24/365</f>
        <v>0</v>
      </c>
      <c r="Y130" s="3">
        <f t="shared" si="103"/>
        <v>8</v>
      </c>
      <c r="Z130" s="1">
        <f>+Y130*'Volcano Summary'!B$19*'Volcano Summary'!B$20/1000</f>
        <v>324000</v>
      </c>
      <c r="AA130" s="1">
        <f t="shared" si="75"/>
        <v>3272766.8355543427</v>
      </c>
      <c r="AB130" s="3">
        <f t="shared" si="32"/>
        <v>909.1018987650951</v>
      </c>
      <c r="AC130" s="1">
        <f t="shared" si="104"/>
        <v>278983473.2513647</v>
      </c>
      <c r="AD130" s="36">
        <f t="shared" si="105"/>
        <v>77495.40923649025</v>
      </c>
      <c r="AE130" s="36">
        <f t="shared" si="28"/>
        <v>3228.9753848537603</v>
      </c>
      <c r="AG130" s="1">
        <f t="shared" si="76"/>
        <v>324000000</v>
      </c>
      <c r="AH130" s="1">
        <f t="shared" si="106"/>
        <v>324000</v>
      </c>
      <c r="AI130" s="1">
        <f t="shared" si="107"/>
        <v>324324000</v>
      </c>
      <c r="AJ130" s="1">
        <f t="shared" si="108"/>
        <v>10184137438.240334</v>
      </c>
      <c r="AK130" s="1">
        <f t="shared" si="109"/>
        <v>10194321575.678574</v>
      </c>
      <c r="AL130" s="39">
        <f>+AJ130/('Volcano Summary'!C$8)*10^6</f>
        <v>707.0121311688279</v>
      </c>
      <c r="AM130" s="1">
        <f t="shared" si="77"/>
        <v>3228.9753848537603</v>
      </c>
    </row>
    <row r="131" spans="1:39" ht="12.75" hidden="1">
      <c r="A131" s="1">
        <f t="shared" si="99"/>
        <v>3272766.8355543427</v>
      </c>
      <c r="B131" s="1">
        <f t="shared" si="100"/>
        <v>3266.0252717905587</v>
      </c>
      <c r="C131" s="1">
        <f t="shared" si="112"/>
        <v>448</v>
      </c>
      <c r="D131" s="12">
        <f t="shared" si="78"/>
        <v>23.883285285767386</v>
      </c>
      <c r="E131" s="38">
        <f t="shared" si="70"/>
        <v>252154401.75365883</v>
      </c>
      <c r="F131" s="38">
        <f t="shared" si="71"/>
        <v>162122176.71652266</v>
      </c>
      <c r="G131" s="38">
        <f t="shared" si="72"/>
        <v>72089951.6793865</v>
      </c>
      <c r="H131" s="18">
        <f t="shared" si="79"/>
        <v>0.020935143302833713</v>
      </c>
      <c r="I131" s="50">
        <f t="shared" si="110"/>
        <v>0.050138987118918774</v>
      </c>
      <c r="J131" s="3">
        <f t="shared" si="80"/>
        <v>106.46668803934982</v>
      </c>
      <c r="K131" s="12">
        <f t="shared" si="111"/>
        <v>1.0558133889023096</v>
      </c>
      <c r="L131" s="3">
        <f t="shared" si="81"/>
        <v>1668.268925873747</v>
      </c>
      <c r="M131" s="12">
        <v>0.718</v>
      </c>
      <c r="N131" s="37">
        <f t="shared" si="82"/>
        <v>633.7269721219432</v>
      </c>
      <c r="O131" s="1">
        <f t="shared" si="73"/>
        <v>25508.46811624357</v>
      </c>
      <c r="P131">
        <f t="shared" si="83"/>
        <v>159.71370672626557</v>
      </c>
      <c r="Q131" s="1">
        <f t="shared" si="84"/>
        <v>101.21488377000831</v>
      </c>
      <c r="R131" s="1">
        <f>+Q131*1000/'Material Properties'!AE$35</f>
        <v>86800.50908254499</v>
      </c>
      <c r="S131" s="1">
        <f t="shared" si="85"/>
        <v>193.75113634496648</v>
      </c>
      <c r="T131" s="1">
        <f t="shared" si="86"/>
        <v>-93.11174235342969</v>
      </c>
      <c r="U131">
        <f t="shared" si="74"/>
        <v>-9.302394446818471E-05</v>
      </c>
      <c r="V131">
        <f>+'Material Properties'!AE$31+'Material Properties'!AE$33</f>
        <v>0.00029034311030761144</v>
      </c>
      <c r="W131">
        <f t="shared" si="102"/>
        <v>0.00019731916583942672</v>
      </c>
      <c r="X131" s="1">
        <f>+'Volcano Summary'!E$12*10^9/Q131/3600/24/365</f>
        <v>0</v>
      </c>
      <c r="Y131" s="3">
        <f t="shared" si="103"/>
        <v>8</v>
      </c>
      <c r="Z131" s="1">
        <f>+Y131*'Volcano Summary'!B$19*'Volcano Summary'!B$20/1000</f>
        <v>324000</v>
      </c>
      <c r="AA131" s="1">
        <f t="shared" si="75"/>
        <v>3201110.2313393825</v>
      </c>
      <c r="AB131" s="3">
        <f t="shared" si="32"/>
        <v>889.1972864831617</v>
      </c>
      <c r="AC131" s="1">
        <f t="shared" si="104"/>
        <v>282184583.4827041</v>
      </c>
      <c r="AD131" s="36">
        <f t="shared" si="105"/>
        <v>78384.60652297341</v>
      </c>
      <c r="AE131" s="36">
        <f t="shared" si="28"/>
        <v>3266.0252717905587</v>
      </c>
      <c r="AG131" s="1">
        <f t="shared" si="76"/>
        <v>324000000</v>
      </c>
      <c r="AH131" s="1">
        <f t="shared" si="106"/>
        <v>324000</v>
      </c>
      <c r="AI131" s="1">
        <f t="shared" si="107"/>
        <v>324324000</v>
      </c>
      <c r="AJ131" s="1">
        <f t="shared" si="108"/>
        <v>10508137438.240334</v>
      </c>
      <c r="AK131" s="1">
        <f t="shared" si="109"/>
        <v>10518645575.678574</v>
      </c>
      <c r="AL131" s="39">
        <f>+AJ131/('Volcano Summary'!C$8)*10^6</f>
        <v>729.5051436490562</v>
      </c>
      <c r="AM131" s="1">
        <f t="shared" si="77"/>
        <v>3266.0252717905587</v>
      </c>
    </row>
    <row r="132" spans="1:39" ht="12.75" hidden="1">
      <c r="A132" s="1">
        <f t="shared" si="99"/>
        <v>3201110.2313393825</v>
      </c>
      <c r="B132" s="1">
        <f t="shared" si="100"/>
        <v>3302.277827517466</v>
      </c>
      <c r="C132" s="1">
        <f t="shared" si="112"/>
        <v>456</v>
      </c>
      <c r="D132" s="12">
        <f t="shared" si="78"/>
        <v>24.095585330081406</v>
      </c>
      <c r="E132" s="38">
        <f t="shared" si="70"/>
        <v>254395818.29354236</v>
      </c>
      <c r="F132" s="38">
        <f t="shared" si="71"/>
        <v>163563291.07283416</v>
      </c>
      <c r="G132" s="38">
        <f t="shared" si="72"/>
        <v>72730763.85212597</v>
      </c>
      <c r="H132" s="18">
        <f t="shared" si="79"/>
        <v>0.020750689105518017</v>
      </c>
      <c r="I132" s="50">
        <f t="shared" si="110"/>
        <v>0.05002448407328392</v>
      </c>
      <c r="J132" s="3">
        <f t="shared" si="80"/>
        <v>105.30425166686523</v>
      </c>
      <c r="K132" s="12">
        <f t="shared" si="111"/>
        <v>1.0527910543338497</v>
      </c>
      <c r="L132" s="3">
        <f t="shared" si="81"/>
        <v>1663.4933974544704</v>
      </c>
      <c r="M132" s="12">
        <v>0.718</v>
      </c>
      <c r="N132" s="37">
        <f t="shared" si="82"/>
        <v>645.0435251955491</v>
      </c>
      <c r="O132" s="1">
        <f t="shared" si="73"/>
        <v>25716.226211620065</v>
      </c>
      <c r="P132">
        <f t="shared" si="83"/>
        <v>160.3627955967969</v>
      </c>
      <c r="Q132" s="1">
        <f t="shared" si="84"/>
        <v>103.44098298197116</v>
      </c>
      <c r="R132" s="1">
        <f>+Q132*1000/'Material Properties'!AE$35</f>
        <v>88709.58152001079</v>
      </c>
      <c r="S132" s="1">
        <f t="shared" si="85"/>
        <v>194.53855596493594</v>
      </c>
      <c r="T132" s="1">
        <f t="shared" si="86"/>
        <v>-87.81757032901919</v>
      </c>
      <c r="U132">
        <f t="shared" si="74"/>
        <v>-9.869005734432149E-05</v>
      </c>
      <c r="V132">
        <f>+'Material Properties'!AE$31+'Material Properties'!AE$33</f>
        <v>0.00029034311030761144</v>
      </c>
      <c r="W132">
        <f t="shared" si="102"/>
        <v>0.00019165305296328997</v>
      </c>
      <c r="X132" s="1">
        <f>+'Volcano Summary'!E$12*10^9/Q132/3600/24/365</f>
        <v>0</v>
      </c>
      <c r="Y132" s="3">
        <f t="shared" si="103"/>
        <v>8</v>
      </c>
      <c r="Z132" s="1">
        <f>+Y132*'Volcano Summary'!B$19*'Volcano Summary'!B$20/1000</f>
        <v>324000</v>
      </c>
      <c r="AA132" s="1">
        <f t="shared" si="75"/>
        <v>3132220.8148048082</v>
      </c>
      <c r="AB132" s="3">
        <f t="shared" si="32"/>
        <v>870.06133744578</v>
      </c>
      <c r="AC132" s="1">
        <f t="shared" si="104"/>
        <v>285316804.2975089</v>
      </c>
      <c r="AD132" s="36">
        <f t="shared" si="105"/>
        <v>79254.66786041918</v>
      </c>
      <c r="AE132" s="36">
        <f t="shared" si="28"/>
        <v>3302.277827517466</v>
      </c>
      <c r="AG132" s="1">
        <f t="shared" si="76"/>
        <v>324000000</v>
      </c>
      <c r="AH132" s="1">
        <f t="shared" si="106"/>
        <v>324000</v>
      </c>
      <c r="AI132" s="1">
        <f t="shared" si="107"/>
        <v>324324000</v>
      </c>
      <c r="AJ132" s="1">
        <f t="shared" si="108"/>
        <v>10832137438.240334</v>
      </c>
      <c r="AK132" s="1">
        <f t="shared" si="109"/>
        <v>10842969575.678574</v>
      </c>
      <c r="AL132" s="39">
        <f>+AJ132/('Volcano Summary'!C$8)*10^6</f>
        <v>751.9981561292846</v>
      </c>
      <c r="AM132" s="1">
        <f t="shared" si="77"/>
        <v>3302.277827517466</v>
      </c>
    </row>
    <row r="133" spans="1:39" ht="12.75" hidden="1">
      <c r="A133" s="1">
        <f t="shared" si="99"/>
        <v>3132220.8148048082</v>
      </c>
      <c r="B133" s="1">
        <f t="shared" si="100"/>
        <v>3337.7633227721176</v>
      </c>
      <c r="C133" s="1">
        <f t="shared" si="112"/>
        <v>464</v>
      </c>
      <c r="D133" s="12">
        <f t="shared" si="78"/>
        <v>24.306031118985995</v>
      </c>
      <c r="E133" s="38">
        <f t="shared" si="70"/>
        <v>256617658.0181818</v>
      </c>
      <c r="F133" s="38">
        <f t="shared" si="71"/>
        <v>164991818.55428454</v>
      </c>
      <c r="G133" s="38">
        <f t="shared" si="72"/>
        <v>73365979.09038731</v>
      </c>
      <c r="H133" s="18">
        <f t="shared" si="79"/>
        <v>0.02057102607794485</v>
      </c>
      <c r="I133" s="50">
        <f t="shared" si="110"/>
        <v>0.049912480765145345</v>
      </c>
      <c r="J133" s="3">
        <f t="shared" si="80"/>
        <v>104.17509434347258</v>
      </c>
      <c r="K133" s="12">
        <f t="shared" si="111"/>
        <v>1.0498552452930288</v>
      </c>
      <c r="L133" s="3">
        <f t="shared" si="81"/>
        <v>1658.8545862340588</v>
      </c>
      <c r="M133" s="12">
        <v>0.718</v>
      </c>
      <c r="N133" s="37">
        <f t="shared" si="82"/>
        <v>656.3600782691556</v>
      </c>
      <c r="O133" s="1">
        <f t="shared" si="73"/>
        <v>25922.47578653587</v>
      </c>
      <c r="P133">
        <f t="shared" si="83"/>
        <v>161.00458312276663</v>
      </c>
      <c r="Q133" s="1">
        <f t="shared" si="84"/>
        <v>105.67698078015188</v>
      </c>
      <c r="R133" s="1">
        <f>+Q133*1000/'Material Properties'!AE$35</f>
        <v>90627.14285052182</v>
      </c>
      <c r="S133" s="1">
        <f t="shared" si="85"/>
        <v>195.3171182123315</v>
      </c>
      <c r="T133" s="1">
        <f t="shared" si="86"/>
        <v>-82.70260230216468</v>
      </c>
      <c r="U133">
        <f t="shared" si="74"/>
        <v>-0.00010486096723811695</v>
      </c>
      <c r="V133">
        <f>+'Material Properties'!AE$31+'Material Properties'!AE$33</f>
        <v>0.00029034311030761144</v>
      </c>
      <c r="W133">
        <f t="shared" si="102"/>
        <v>0.0001854821430694945</v>
      </c>
      <c r="X133" s="1">
        <f>+'Volcano Summary'!E$12*10^9/Q133/3600/24/365</f>
        <v>0</v>
      </c>
      <c r="Y133" s="3">
        <f t="shared" si="103"/>
        <v>8</v>
      </c>
      <c r="Z133" s="1">
        <f>+Y133*'Volcano Summary'!B$19*'Volcano Summary'!B$20/1000</f>
        <v>324000</v>
      </c>
      <c r="AA133" s="1">
        <f t="shared" si="75"/>
        <v>3065946.7900019083</v>
      </c>
      <c r="AB133" s="3">
        <f t="shared" si="32"/>
        <v>851.6518861116411</v>
      </c>
      <c r="AC133" s="1">
        <f t="shared" si="104"/>
        <v>288382751.0875108</v>
      </c>
      <c r="AD133" s="36">
        <f t="shared" si="105"/>
        <v>80106.31974653082</v>
      </c>
      <c r="AE133" s="36">
        <f t="shared" si="28"/>
        <v>3337.7633227721176</v>
      </c>
      <c r="AG133" s="1">
        <f t="shared" si="76"/>
        <v>324000000</v>
      </c>
      <c r="AH133" s="1">
        <f t="shared" si="106"/>
        <v>324000</v>
      </c>
      <c r="AI133" s="1">
        <f t="shared" si="107"/>
        <v>324324000</v>
      </c>
      <c r="AJ133" s="1">
        <f t="shared" si="108"/>
        <v>11156137438.240334</v>
      </c>
      <c r="AK133" s="1">
        <f t="shared" si="109"/>
        <v>11167293575.678574</v>
      </c>
      <c r="AL133" s="39">
        <f>+AJ133/('Volcano Summary'!C$8)*10^6</f>
        <v>774.4911686095128</v>
      </c>
      <c r="AM133" s="1">
        <f t="shared" si="77"/>
        <v>3337.7633227721176</v>
      </c>
    </row>
    <row r="134" spans="1:39" ht="12.75" hidden="1">
      <c r="A134" s="1">
        <f t="shared" si="99"/>
        <v>3065946.7900019083</v>
      </c>
      <c r="B134" s="1">
        <f t="shared" si="100"/>
        <v>3372.5103954472256</v>
      </c>
      <c r="C134" s="1">
        <f t="shared" si="112"/>
        <v>472</v>
      </c>
      <c r="D134" s="12">
        <f t="shared" si="78"/>
        <v>24.514670406003766</v>
      </c>
      <c r="E134" s="38">
        <f t="shared" si="70"/>
        <v>258820425.0986231</v>
      </c>
      <c r="F134" s="38">
        <f t="shared" si="71"/>
        <v>166408083.3166563</v>
      </c>
      <c r="G134" s="38">
        <f t="shared" si="72"/>
        <v>73995741.53468958</v>
      </c>
      <c r="H134" s="18">
        <f t="shared" si="79"/>
        <v>0.020395950331746963</v>
      </c>
      <c r="I134" s="50">
        <f t="shared" si="110"/>
        <v>0.04980287982088052</v>
      </c>
      <c r="J134" s="3">
        <f t="shared" si="80"/>
        <v>103.07770632046422</v>
      </c>
      <c r="K134" s="12">
        <f t="shared" si="111"/>
        <v>1.047002036433207</v>
      </c>
      <c r="L134" s="3">
        <f t="shared" si="81"/>
        <v>1654.3462898533728</v>
      </c>
      <c r="M134" s="12">
        <v>0.718</v>
      </c>
      <c r="N134" s="37">
        <f t="shared" si="82"/>
        <v>667.6766313427615</v>
      </c>
      <c r="O134" s="1">
        <f t="shared" si="73"/>
        <v>26127.25222372027</v>
      </c>
      <c r="P134">
        <f t="shared" si="83"/>
        <v>161.6392657237723</v>
      </c>
      <c r="Q134" s="1">
        <f t="shared" si="84"/>
        <v>107.9227604311658</v>
      </c>
      <c r="R134" s="1">
        <f>+Q134*1000/'Material Properties'!AE$35</f>
        <v>92553.09296511346</v>
      </c>
      <c r="S134" s="1">
        <f t="shared" si="85"/>
        <v>196.08706136676582</v>
      </c>
      <c r="T134" s="1">
        <f t="shared" si="86"/>
        <v>-77.75764458882918</v>
      </c>
      <c r="U134">
        <f t="shared" si="74"/>
        <v>-0.0001116076357256302</v>
      </c>
      <c r="V134">
        <f>+'Material Properties'!AE$31+'Material Properties'!AE$33</f>
        <v>0.00029034311030761144</v>
      </c>
      <c r="W134">
        <f t="shared" si="102"/>
        <v>0.00017873547458198126</v>
      </c>
      <c r="X134" s="1">
        <f>+'Volcano Summary'!E$12*10^9/Q134/3600/24/365</f>
        <v>0</v>
      </c>
      <c r="Y134" s="3">
        <f t="shared" si="103"/>
        <v>8</v>
      </c>
      <c r="Z134" s="1">
        <f>+Y134*'Volcano Summary'!B$19*'Volcano Summary'!B$20/1000</f>
        <v>324000</v>
      </c>
      <c r="AA134" s="1">
        <f t="shared" si="75"/>
        <v>3002147.0791293406</v>
      </c>
      <c r="AB134" s="3">
        <f t="shared" si="32"/>
        <v>833.9297442025946</v>
      </c>
      <c r="AC134" s="1">
        <f t="shared" si="104"/>
        <v>291384898.16664016</v>
      </c>
      <c r="AD134" s="36">
        <f t="shared" si="105"/>
        <v>80940.24949073342</v>
      </c>
      <c r="AE134" s="36">
        <f t="shared" si="28"/>
        <v>3372.5103954472256</v>
      </c>
      <c r="AG134" s="1">
        <f t="shared" si="76"/>
        <v>324000000</v>
      </c>
      <c r="AH134" s="1">
        <f t="shared" si="106"/>
        <v>324000</v>
      </c>
      <c r="AI134" s="1">
        <f t="shared" si="107"/>
        <v>324324000</v>
      </c>
      <c r="AJ134" s="1">
        <f t="shared" si="108"/>
        <v>11480137438.240334</v>
      </c>
      <c r="AK134" s="1">
        <f t="shared" si="109"/>
        <v>11491617575.678574</v>
      </c>
      <c r="AL134" s="39">
        <f>+AJ134/('Volcano Summary'!C$8)*10^6</f>
        <v>796.9841810897411</v>
      </c>
      <c r="AM134" s="1">
        <f t="shared" si="77"/>
        <v>3372.5103954472256</v>
      </c>
    </row>
    <row r="135" spans="1:39" ht="12.75" hidden="1">
      <c r="A135" s="1">
        <f aca="true" t="shared" si="113" ref="A135:A164">+AA134</f>
        <v>3002147.0791293406</v>
      </c>
      <c r="B135" s="1">
        <f aca="true" t="shared" si="114" ref="B135:B165">+AE135</f>
        <v>3406.546163989255</v>
      </c>
      <c r="C135" s="1">
        <f t="shared" si="112"/>
        <v>480</v>
      </c>
      <c r="D135" s="12">
        <f t="shared" si="78"/>
        <v>24.721548929484133</v>
      </c>
      <c r="E135" s="38">
        <f t="shared" si="70"/>
        <v>261004602.43016288</v>
      </c>
      <c r="F135" s="38">
        <f t="shared" si="71"/>
        <v>167812395.83653077</v>
      </c>
      <c r="G135" s="38">
        <f t="shared" si="72"/>
        <v>74620189.24289869</v>
      </c>
      <c r="H135" s="18">
        <f t="shared" si="79"/>
        <v>0.0202252699224552</v>
      </c>
      <c r="I135" s="50">
        <f t="shared" si="110"/>
        <v>0.049695589255871205</v>
      </c>
      <c r="J135" s="3">
        <f t="shared" si="80"/>
        <v>102.01067066554596</v>
      </c>
      <c r="K135" s="12">
        <f t="shared" si="111"/>
        <v>1.0442277437304197</v>
      </c>
      <c r="L135" s="3">
        <f t="shared" si="81"/>
        <v>1649.9626872622462</v>
      </c>
      <c r="M135" s="12">
        <v>0.718</v>
      </c>
      <c r="N135" s="37">
        <f t="shared" si="82"/>
        <v>678.9931844163675</v>
      </c>
      <c r="O135" s="1">
        <f t="shared" si="73"/>
        <v>26330.589498135298</v>
      </c>
      <c r="P135">
        <f t="shared" si="83"/>
        <v>162.26703145782662</v>
      </c>
      <c r="Q135" s="1">
        <f t="shared" si="84"/>
        <v>110.17820841534058</v>
      </c>
      <c r="R135" s="1">
        <f>+Q135*1000/'Material Properties'!AE$35</f>
        <v>94487.33451085718</v>
      </c>
      <c r="S135" s="1">
        <f t="shared" si="85"/>
        <v>196.84861356428578</v>
      </c>
      <c r="T135" s="1">
        <f t="shared" si="86"/>
        <v>-72.97412689698922</v>
      </c>
      <c r="U135">
        <f t="shared" si="74"/>
        <v>-0.0001190149693004235</v>
      </c>
      <c r="V135">
        <f>+'Material Properties'!AE$31+'Material Properties'!AE$33</f>
        <v>0.00029034311030761144</v>
      </c>
      <c r="W135">
        <f aca="true" t="shared" si="115" ref="W135:W145">+V135+U135</f>
        <v>0.00017132814100718794</v>
      </c>
      <c r="X135" s="1">
        <f>+'Volcano Summary'!E$12*10^9/Q135/3600/24/365</f>
        <v>0</v>
      </c>
      <c r="Y135" s="3">
        <f aca="true" t="shared" si="116" ref="Y135:Y145">+C136-C135</f>
        <v>8</v>
      </c>
      <c r="Z135" s="1">
        <f>+Y135*'Volcano Summary'!B$19*'Volcano Summary'!B$20/1000</f>
        <v>324000</v>
      </c>
      <c r="AA135" s="1">
        <f t="shared" si="75"/>
        <v>2940690.402031334</v>
      </c>
      <c r="AB135" s="3">
        <f t="shared" si="32"/>
        <v>816.8584450087039</v>
      </c>
      <c r="AC135" s="1">
        <f aca="true" t="shared" si="117" ref="AC135:AC145">+AC134+AA135</f>
        <v>294325588.5686715</v>
      </c>
      <c r="AD135" s="36">
        <f aca="true" t="shared" si="118" ref="AD135:AD145">+AD134+AB135</f>
        <v>81757.10793574213</v>
      </c>
      <c r="AE135" s="36">
        <f t="shared" si="28"/>
        <v>3406.546163989255</v>
      </c>
      <c r="AG135" s="1">
        <f t="shared" si="76"/>
        <v>324000000</v>
      </c>
      <c r="AH135" s="1">
        <f aca="true" t="shared" si="119" ref="AH135:AH145">+Z135</f>
        <v>324000</v>
      </c>
      <c r="AI135" s="1">
        <f aca="true" t="shared" si="120" ref="AI135:AI145">+AH135+AG135</f>
        <v>324324000</v>
      </c>
      <c r="AJ135" s="1">
        <f aca="true" t="shared" si="121" ref="AJ135:AJ145">+AJ134+AG135</f>
        <v>11804137438.240334</v>
      </c>
      <c r="AK135" s="1">
        <f aca="true" t="shared" si="122" ref="AK135:AK145">+AK134+AI135</f>
        <v>11815941575.678574</v>
      </c>
      <c r="AL135" s="39">
        <f>+AJ135/('Volcano Summary'!C$8)*10^6</f>
        <v>819.4771935699695</v>
      </c>
      <c r="AM135" s="1">
        <f t="shared" si="77"/>
        <v>3406.546163989255</v>
      </c>
    </row>
    <row r="136" spans="1:39" ht="12.75" hidden="1">
      <c r="A136" s="1">
        <f t="shared" si="113"/>
        <v>2940690.402031334</v>
      </c>
      <c r="B136" s="1">
        <f t="shared" si="114"/>
        <v>3439.673963724365</v>
      </c>
      <c r="C136" s="1">
        <f t="shared" si="112"/>
        <v>488</v>
      </c>
      <c r="D136" s="12">
        <f t="shared" si="78"/>
        <v>24.926710529686012</v>
      </c>
      <c r="E136" s="38">
        <f t="shared" si="70"/>
        <v>263170652.86848164</v>
      </c>
      <c r="F136" s="38">
        <f t="shared" si="71"/>
        <v>169205053.70605743</v>
      </c>
      <c r="G136" s="38">
        <f t="shared" si="72"/>
        <v>75239454.54363322</v>
      </c>
      <c r="H136" s="18">
        <f t="shared" si="79"/>
        <v>0.020058803964708223</v>
      </c>
      <c r="I136" s="50">
        <v>0.0487</v>
      </c>
      <c r="J136" s="3">
        <f t="shared" si="80"/>
        <v>99.18637530812904</v>
      </c>
      <c r="K136" s="12">
        <f t="shared" si="111"/>
        <v>1.0368845758011356</v>
      </c>
      <c r="L136" s="3">
        <f t="shared" si="81"/>
        <v>1638.3598993049598</v>
      </c>
      <c r="M136" s="12">
        <v>0.718</v>
      </c>
      <c r="N136" s="37">
        <f t="shared" si="82"/>
        <v>690.3097374899739</v>
      </c>
      <c r="O136" s="1">
        <f t="shared" si="73"/>
        <v>26889.910214119933</v>
      </c>
      <c r="P136">
        <f t="shared" si="83"/>
        <v>163.98143252856383</v>
      </c>
      <c r="Q136" s="1">
        <f t="shared" si="84"/>
        <v>113.19797964202276</v>
      </c>
      <c r="R136" s="1">
        <f>+Q136*1000/'Material Properties'!AE$35</f>
        <v>97077.04928427379</v>
      </c>
      <c r="S136" s="1">
        <f t="shared" si="85"/>
        <v>198.9283796808889</v>
      </c>
      <c r="T136" s="1">
        <f t="shared" si="86"/>
        <v>-60.43020989545471</v>
      </c>
      <c r="U136">
        <f t="shared" si="74"/>
        <v>-0.0001440932261966532</v>
      </c>
      <c r="V136">
        <f>+'Material Properties'!AE$31+'Material Properties'!AE$33</f>
        <v>0.00029034311030761144</v>
      </c>
      <c r="W136">
        <f t="shared" si="115"/>
        <v>0.00014624988411095823</v>
      </c>
      <c r="X136" s="1">
        <f>+'Volcano Summary'!E$12*10^9/Q136/3600/24/365</f>
        <v>0</v>
      </c>
      <c r="Y136" s="3">
        <f t="shared" si="116"/>
        <v>8</v>
      </c>
      <c r="Z136" s="1">
        <f>+Y136*'Volcano Summary'!B$19*'Volcano Summary'!B$20/1000</f>
        <v>324000</v>
      </c>
      <c r="AA136" s="1">
        <f t="shared" si="75"/>
        <v>2862241.8971135127</v>
      </c>
      <c r="AB136" s="3">
        <f t="shared" si="32"/>
        <v>795.0671936426425</v>
      </c>
      <c r="AC136" s="1">
        <f t="shared" si="117"/>
        <v>297187830.465785</v>
      </c>
      <c r="AD136" s="36">
        <f t="shared" si="118"/>
        <v>82552.17512938476</v>
      </c>
      <c r="AE136" s="36">
        <f t="shared" si="28"/>
        <v>3439.673963724365</v>
      </c>
      <c r="AG136" s="1">
        <f t="shared" si="76"/>
        <v>324000000</v>
      </c>
      <c r="AH136" s="1">
        <f t="shared" si="119"/>
        <v>324000</v>
      </c>
      <c r="AI136" s="1">
        <f t="shared" si="120"/>
        <v>324324000</v>
      </c>
      <c r="AJ136" s="1">
        <f t="shared" si="121"/>
        <v>12128137438.240334</v>
      </c>
      <c r="AK136" s="1">
        <f t="shared" si="122"/>
        <v>12140265575.678574</v>
      </c>
      <c r="AL136" s="39">
        <f>+AJ136/('Volcano Summary'!C$8)*10^6</f>
        <v>841.9702060501978</v>
      </c>
      <c r="AM136" s="1">
        <f t="shared" si="77"/>
        <v>3439.673963724365</v>
      </c>
    </row>
    <row r="137" spans="1:39" ht="12.75" hidden="1">
      <c r="A137" s="1">
        <f t="shared" si="113"/>
        <v>2862241.8971135127</v>
      </c>
      <c r="B137" s="1">
        <f t="shared" si="114"/>
        <v>3472.144441311662</v>
      </c>
      <c r="C137" s="1">
        <f t="shared" si="112"/>
        <v>496</v>
      </c>
      <c r="D137" s="12">
        <f t="shared" si="78"/>
        <v>25.13019725725687</v>
      </c>
      <c r="E137" s="38">
        <f t="shared" si="70"/>
        <v>265319020.37494093</v>
      </c>
      <c r="F137" s="38">
        <f t="shared" si="71"/>
        <v>170586342.36932057</v>
      </c>
      <c r="G137" s="38">
        <f t="shared" si="72"/>
        <v>75853664.3637002</v>
      </c>
      <c r="H137" s="18">
        <f t="shared" si="79"/>
        <v>0.01989638182627534</v>
      </c>
      <c r="I137" s="50">
        <f>+I$136*LN(H$136)/LN(H137)</f>
        <v>0.04859892220812356</v>
      </c>
      <c r="J137" s="3">
        <f t="shared" si="80"/>
        <v>98.19427125982786</v>
      </c>
      <c r="K137" s="12">
        <f t="shared" si="111"/>
        <v>1.0343051052755525</v>
      </c>
      <c r="L137" s="3">
        <f t="shared" si="81"/>
        <v>1634.2841312115931</v>
      </c>
      <c r="M137" s="12">
        <v>0.718</v>
      </c>
      <c r="N137" s="37">
        <f t="shared" si="82"/>
        <v>701.6262905635798</v>
      </c>
      <c r="O137" s="1">
        <f t="shared" si="73"/>
        <v>27094.021710207402</v>
      </c>
      <c r="P137">
        <f t="shared" si="83"/>
        <v>164.6026175679093</v>
      </c>
      <c r="Q137" s="1">
        <f t="shared" si="84"/>
        <v>115.48952398122775</v>
      </c>
      <c r="R137" s="1">
        <f>+Q137*1000/'Material Properties'!AE$35</f>
        <v>99042.24657363881</v>
      </c>
      <c r="S137" s="1">
        <f t="shared" si="85"/>
        <v>199.68194873717502</v>
      </c>
      <c r="T137" s="1">
        <f t="shared" si="86"/>
        <v>-56.064289171378505</v>
      </c>
      <c r="U137">
        <f t="shared" si="74"/>
        <v>-0.00015549733584622287</v>
      </c>
      <c r="V137">
        <f>+'Material Properties'!AE$31+'Material Properties'!AE$33</f>
        <v>0.00029034311030761144</v>
      </c>
      <c r="W137">
        <f t="shared" si="115"/>
        <v>0.00013484577446138857</v>
      </c>
      <c r="X137" s="1">
        <f>+'Volcano Summary'!E$12*10^9/Q137/3600/24/365</f>
        <v>0</v>
      </c>
      <c r="Y137" s="3">
        <f t="shared" si="116"/>
        <v>8</v>
      </c>
      <c r="Z137" s="1">
        <f>+Y137*'Volcano Summary'!B$19*'Volcano Summary'!B$20/1000</f>
        <v>324000</v>
      </c>
      <c r="AA137" s="1">
        <f t="shared" si="75"/>
        <v>2805449.2635424198</v>
      </c>
      <c r="AB137" s="3">
        <f t="shared" si="32"/>
        <v>779.2914620951166</v>
      </c>
      <c r="AC137" s="1">
        <f t="shared" si="117"/>
        <v>299993279.72932744</v>
      </c>
      <c r="AD137" s="36">
        <f t="shared" si="118"/>
        <v>83331.46659147988</v>
      </c>
      <c r="AE137" s="36">
        <f t="shared" si="28"/>
        <v>3472.144441311662</v>
      </c>
      <c r="AG137" s="1">
        <f t="shared" si="76"/>
        <v>324000000</v>
      </c>
      <c r="AH137" s="1">
        <f t="shared" si="119"/>
        <v>324000</v>
      </c>
      <c r="AI137" s="1">
        <f t="shared" si="120"/>
        <v>324324000</v>
      </c>
      <c r="AJ137" s="1">
        <f t="shared" si="121"/>
        <v>12452137438.240334</v>
      </c>
      <c r="AK137" s="1">
        <f t="shared" si="122"/>
        <v>12464589575.678574</v>
      </c>
      <c r="AL137" s="39">
        <f>+AJ137/('Volcano Summary'!C$8)*10^6</f>
        <v>864.463218530426</v>
      </c>
      <c r="AM137" s="1">
        <f t="shared" si="77"/>
        <v>3472.144441311662</v>
      </c>
    </row>
    <row r="138" spans="1:39" ht="12.75" hidden="1">
      <c r="A138" s="1">
        <f t="shared" si="113"/>
        <v>2805449.2635424198</v>
      </c>
      <c r="B138" s="1">
        <f t="shared" si="114"/>
        <v>3503.980623150944</v>
      </c>
      <c r="C138" s="1">
        <f t="shared" si="112"/>
        <v>504</v>
      </c>
      <c r="D138" s="12">
        <f t="shared" si="78"/>
        <v>25.332049473868512</v>
      </c>
      <c r="E138" s="38">
        <f t="shared" si="70"/>
        <v>267450131.07907382</v>
      </c>
      <c r="F138" s="38">
        <f t="shared" si="71"/>
        <v>171956535.80546546</v>
      </c>
      <c r="G138" s="38">
        <f t="shared" si="72"/>
        <v>76462940.5318571</v>
      </c>
      <c r="H138" s="18">
        <f t="shared" si="79"/>
        <v>0.019737842392727804</v>
      </c>
      <c r="I138" s="50">
        <f aca="true" t="shared" si="123" ref="I138:I181">+I$136*LN(H$136)/LN(H138)</f>
        <v>0.04849987045697194</v>
      </c>
      <c r="J138" s="3">
        <f t="shared" si="80"/>
        <v>97.22827991474276</v>
      </c>
      <c r="K138" s="12">
        <f t="shared" si="111"/>
        <v>1.0317935277783312</v>
      </c>
      <c r="L138" s="3">
        <f t="shared" si="81"/>
        <v>1630.315639489875</v>
      </c>
      <c r="M138" s="12">
        <v>0.718</v>
      </c>
      <c r="N138" s="37">
        <f t="shared" si="82"/>
        <v>712.9428436371859</v>
      </c>
      <c r="O138" s="1">
        <f t="shared" si="73"/>
        <v>27296.76332278381</v>
      </c>
      <c r="P138">
        <f t="shared" si="83"/>
        <v>165.21732149742596</v>
      </c>
      <c r="Q138" s="1">
        <f t="shared" si="84"/>
        <v>117.79050700649402</v>
      </c>
      <c r="R138" s="1">
        <f>+Q138*1000/'Material Properties'!AE$35</f>
        <v>101015.5383519236</v>
      </c>
      <c r="S138" s="1">
        <f t="shared" si="85"/>
        <v>200.42765546016588</v>
      </c>
      <c r="T138" s="1">
        <f t="shared" si="86"/>
        <v>-51.8334855715691</v>
      </c>
      <c r="U138">
        <f t="shared" si="74"/>
        <v>-0.00016841376363191908</v>
      </c>
      <c r="V138">
        <f>+'Material Properties'!AE$31+'Material Properties'!AE$33</f>
        <v>0.00029034311030761144</v>
      </c>
      <c r="W138">
        <f t="shared" si="115"/>
        <v>0.00012192934667569236</v>
      </c>
      <c r="X138" s="1">
        <f>+'Volcano Summary'!E$12*10^9/Q138/3600/24/365</f>
        <v>0</v>
      </c>
      <c r="Y138" s="3">
        <f t="shared" si="116"/>
        <v>8</v>
      </c>
      <c r="Z138" s="1">
        <f>+Y138*'Volcano Summary'!B$19*'Volcano Summary'!B$20/1000</f>
        <v>324000</v>
      </c>
      <c r="AA138" s="1">
        <f t="shared" si="75"/>
        <v>2750646.110913991</v>
      </c>
      <c r="AB138" s="3">
        <f t="shared" si="32"/>
        <v>764.0683641427753</v>
      </c>
      <c r="AC138" s="1">
        <f t="shared" si="117"/>
        <v>302743925.84024143</v>
      </c>
      <c r="AD138" s="36">
        <f t="shared" si="118"/>
        <v>84095.53495562266</v>
      </c>
      <c r="AE138" s="36">
        <f t="shared" si="28"/>
        <v>3503.980623150944</v>
      </c>
      <c r="AG138" s="1">
        <f t="shared" si="76"/>
        <v>324000000</v>
      </c>
      <c r="AH138" s="1">
        <f t="shared" si="119"/>
        <v>324000</v>
      </c>
      <c r="AI138" s="1">
        <f t="shared" si="120"/>
        <v>324324000</v>
      </c>
      <c r="AJ138" s="1">
        <f t="shared" si="121"/>
        <v>12776137438.240334</v>
      </c>
      <c r="AK138" s="1">
        <f t="shared" si="122"/>
        <v>12788913575.678574</v>
      </c>
      <c r="AL138" s="39">
        <f>+AJ138/('Volcano Summary'!C$8)*10^6</f>
        <v>886.9562310106545</v>
      </c>
      <c r="AM138" s="1">
        <f t="shared" si="77"/>
        <v>3503.980623150944</v>
      </c>
    </row>
    <row r="139" spans="1:39" ht="12.75" hidden="1">
      <c r="A139" s="1">
        <f t="shared" si="113"/>
        <v>2750646.110913991</v>
      </c>
      <c r="B139" s="1">
        <f t="shared" si="114"/>
        <v>3535.204388539336</v>
      </c>
      <c r="C139" s="1">
        <f t="shared" si="112"/>
        <v>512</v>
      </c>
      <c r="D139" s="12">
        <f t="shared" si="78"/>
        <v>25.532305945691693</v>
      </c>
      <c r="E139" s="38">
        <f t="shared" si="70"/>
        <v>269564394.2654691</v>
      </c>
      <c r="F139" s="38">
        <f t="shared" si="71"/>
        <v>173315897.16321352</v>
      </c>
      <c r="G139" s="38">
        <f t="shared" si="72"/>
        <v>77067400.060958</v>
      </c>
      <c r="H139" s="18">
        <f t="shared" si="79"/>
        <v>0.01958303339555469</v>
      </c>
      <c r="I139" s="50">
        <f t="shared" si="123"/>
        <v>0.04840277212757115</v>
      </c>
      <c r="J139" s="3">
        <f t="shared" si="80"/>
        <v>96.28731030116496</v>
      </c>
      <c r="K139" s="12">
        <f t="shared" si="111"/>
        <v>1.029347006783029</v>
      </c>
      <c r="L139" s="3">
        <f t="shared" si="81"/>
        <v>1626.4499422029673</v>
      </c>
      <c r="M139" s="12">
        <v>0.718</v>
      </c>
      <c r="N139" s="37">
        <f t="shared" si="82"/>
        <v>724.2593967107921</v>
      </c>
      <c r="O139" s="1">
        <f t="shared" si="73"/>
        <v>27498.164663103027</v>
      </c>
      <c r="P139">
        <f t="shared" si="83"/>
        <v>165.82570567648136</v>
      </c>
      <c r="Q139" s="1">
        <f t="shared" si="84"/>
        <v>120.10082555238976</v>
      </c>
      <c r="R139" s="1">
        <f>+Q139*1000/'Material Properties'!AE$35</f>
        <v>102996.83614585554</v>
      </c>
      <c r="S139" s="1">
        <f t="shared" si="85"/>
        <v>201.1656955973741</v>
      </c>
      <c r="T139" s="1">
        <f t="shared" si="86"/>
        <v>-47.73143748608777</v>
      </c>
      <c r="U139">
        <f t="shared" si="74"/>
        <v>-0.00018316542178634253</v>
      </c>
      <c r="V139">
        <f>+'Material Properties'!AE$31+'Material Properties'!AE$33</f>
        <v>0.00029034311030761144</v>
      </c>
      <c r="W139">
        <f t="shared" si="115"/>
        <v>0.00010717768852126891</v>
      </c>
      <c r="X139" s="1">
        <f>+'Volcano Summary'!E$12*10^9/Q139/3600/24/365</f>
        <v>0</v>
      </c>
      <c r="Y139" s="3">
        <f t="shared" si="116"/>
        <v>8</v>
      </c>
      <c r="Z139" s="1">
        <f>+Y139*'Volcano Summary'!B$19*'Volcano Summary'!B$20/1000</f>
        <v>324000</v>
      </c>
      <c r="AA139" s="1">
        <f t="shared" si="75"/>
        <v>2697733.3295570593</v>
      </c>
      <c r="AB139" s="3">
        <f t="shared" si="32"/>
        <v>749.3703693214054</v>
      </c>
      <c r="AC139" s="1">
        <f t="shared" si="117"/>
        <v>305441659.1697985</v>
      </c>
      <c r="AD139" s="36">
        <f t="shared" si="118"/>
        <v>84844.90532494406</v>
      </c>
      <c r="AE139" s="36">
        <f t="shared" si="28"/>
        <v>3535.204388539336</v>
      </c>
      <c r="AG139" s="1">
        <f t="shared" si="76"/>
        <v>324000000</v>
      </c>
      <c r="AH139" s="1">
        <f t="shared" si="119"/>
        <v>324000</v>
      </c>
      <c r="AI139" s="1">
        <f t="shared" si="120"/>
        <v>324324000</v>
      </c>
      <c r="AJ139" s="1">
        <f t="shared" si="121"/>
        <v>13100137438.240334</v>
      </c>
      <c r="AK139" s="1">
        <f t="shared" si="122"/>
        <v>13113237575.678574</v>
      </c>
      <c r="AL139" s="39">
        <f>+AJ139/('Volcano Summary'!C$8)*10^6</f>
        <v>909.4492434908827</v>
      </c>
      <c r="AM139" s="1">
        <f t="shared" si="77"/>
        <v>3535.204388539336</v>
      </c>
    </row>
    <row r="140" spans="1:39" ht="12.75" hidden="1">
      <c r="A140" s="1">
        <f t="shared" si="113"/>
        <v>2697733.3295570593</v>
      </c>
      <c r="B140" s="1">
        <f t="shared" si="114"/>
        <v>3565.8365433173226</v>
      </c>
      <c r="C140" s="1">
        <f t="shared" si="112"/>
        <v>520</v>
      </c>
      <c r="D140" s="12">
        <f t="shared" si="78"/>
        <v>25.731003930322746</v>
      </c>
      <c r="E140" s="38">
        <f t="shared" si="70"/>
        <v>271662203.29152286</v>
      </c>
      <c r="F140" s="38">
        <f t="shared" si="71"/>
        <v>174664679.35092908</v>
      </c>
      <c r="G140" s="38">
        <f t="shared" si="72"/>
        <v>77667155.41033532</v>
      </c>
      <c r="H140" s="18">
        <f t="shared" si="79"/>
        <v>0.019431810797353854</v>
      </c>
      <c r="I140" s="50">
        <f t="shared" si="123"/>
        <v>0.048307558305171416</v>
      </c>
      <c r="J140" s="3">
        <f t="shared" si="80"/>
        <v>95.37033330682307</v>
      </c>
      <c r="K140" s="12">
        <f t="shared" si="111"/>
        <v>1.0269628665977402</v>
      </c>
      <c r="L140" s="3">
        <f t="shared" si="81"/>
        <v>1622.6828115453618</v>
      </c>
      <c r="M140" s="12">
        <v>0.718</v>
      </c>
      <c r="N140" s="37">
        <f t="shared" si="82"/>
        <v>735.5759497843983</v>
      </c>
      <c r="O140" s="1">
        <f t="shared" si="73"/>
        <v>27698.25425548033</v>
      </c>
      <c r="P140">
        <f t="shared" si="83"/>
        <v>166.42792510717763</v>
      </c>
      <c r="Q140" s="1">
        <f t="shared" si="84"/>
        <v>122.42037908135889</v>
      </c>
      <c r="R140" s="1">
        <f>+Q140*1000/'Material Properties'!AE$35</f>
        <v>104986.05373579258</v>
      </c>
      <c r="S140" s="1">
        <f t="shared" si="85"/>
        <v>201.8962571842165</v>
      </c>
      <c r="T140" s="1">
        <f t="shared" si="86"/>
        <v>-43.75218017814359</v>
      </c>
      <c r="U140">
        <f t="shared" si="74"/>
        <v>-0.00020017417933790654</v>
      </c>
      <c r="V140">
        <f>+'Material Properties'!AE$31+'Material Properties'!AE$33</f>
        <v>0.00029034311030761144</v>
      </c>
      <c r="W140">
        <f t="shared" si="115"/>
        <v>9.01689309697049E-05</v>
      </c>
      <c r="X140" s="1">
        <f>+'Volcano Summary'!E$12*10^9/Q140/3600/24/365</f>
        <v>0</v>
      </c>
      <c r="Y140" s="3">
        <f t="shared" si="116"/>
        <v>8</v>
      </c>
      <c r="Z140" s="1">
        <f>+Y140*'Volcano Summary'!B$19*'Volcano Summary'!B$20/1000</f>
        <v>324000</v>
      </c>
      <c r="AA140" s="1">
        <f t="shared" si="75"/>
        <v>2646618.1728180572</v>
      </c>
      <c r="AB140" s="3">
        <f t="shared" si="32"/>
        <v>735.1717146716826</v>
      </c>
      <c r="AC140" s="1">
        <f t="shared" si="117"/>
        <v>308088277.34261656</v>
      </c>
      <c r="AD140" s="36">
        <f t="shared" si="118"/>
        <v>85580.07703961575</v>
      </c>
      <c r="AE140" s="36">
        <f t="shared" si="28"/>
        <v>3565.8365433173226</v>
      </c>
      <c r="AG140" s="1">
        <f t="shared" si="76"/>
        <v>324000000</v>
      </c>
      <c r="AH140" s="1">
        <f t="shared" si="119"/>
        <v>324000</v>
      </c>
      <c r="AI140" s="1">
        <f t="shared" si="120"/>
        <v>324324000</v>
      </c>
      <c r="AJ140" s="1">
        <f t="shared" si="121"/>
        <v>13424137438.240334</v>
      </c>
      <c r="AK140" s="1">
        <f t="shared" si="122"/>
        <v>13437561575.678574</v>
      </c>
      <c r="AL140" s="39">
        <f>+AJ140/('Volcano Summary'!C$8)*10^6</f>
        <v>931.942255971111</v>
      </c>
      <c r="AM140" s="1">
        <f t="shared" si="77"/>
        <v>3565.8365433173226</v>
      </c>
    </row>
    <row r="141" spans="1:39" ht="12.75" hidden="1">
      <c r="A141" s="1">
        <f t="shared" si="113"/>
        <v>2646618.1728180572</v>
      </c>
      <c r="B141" s="1">
        <f t="shared" si="114"/>
        <v>3595.8968877564907</v>
      </c>
      <c r="C141" s="1">
        <f t="shared" si="112"/>
        <v>528</v>
      </c>
      <c r="D141" s="12">
        <f t="shared" si="78"/>
        <v>25.928179257714298</v>
      </c>
      <c r="E141" s="38">
        <f t="shared" si="70"/>
        <v>273743936.44188756</v>
      </c>
      <c r="F141" s="38">
        <f t="shared" si="71"/>
        <v>176003125.58598542</v>
      </c>
      <c r="G141" s="38">
        <f t="shared" si="72"/>
        <v>78262314.73008333</v>
      </c>
      <c r="H141" s="18">
        <f t="shared" si="79"/>
        <v>0.019284038228455133</v>
      </c>
      <c r="I141" s="50">
        <f t="shared" si="123"/>
        <v>0.048214163536059236</v>
      </c>
      <c r="J141" s="3">
        <f t="shared" si="80"/>
        <v>94.47637727823538</v>
      </c>
      <c r="K141" s="12">
        <f t="shared" si="111"/>
        <v>1.0246385809234122</v>
      </c>
      <c r="L141" s="3">
        <f t="shared" si="81"/>
        <v>1619.0102557641112</v>
      </c>
      <c r="M141" s="12">
        <v>0.718</v>
      </c>
      <c r="N141" s="37">
        <f t="shared" si="82"/>
        <v>746.8925028580044</v>
      </c>
      <c r="O141" s="1">
        <f t="shared" si="73"/>
        <v>27897.059593143495</v>
      </c>
      <c r="P141">
        <f t="shared" si="83"/>
        <v>167.02412877528653</v>
      </c>
      <c r="Q141" s="1">
        <f t="shared" si="84"/>
        <v>124.74906957865139</v>
      </c>
      <c r="R141" s="1">
        <f>+Q141*1000/'Material Properties'!AE$35</f>
        <v>106983.10706561687</v>
      </c>
      <c r="S141" s="1">
        <f t="shared" si="85"/>
        <v>202.6195209576077</v>
      </c>
      <c r="T141" s="1">
        <f t="shared" si="86"/>
        <v>-39.89011520247823</v>
      </c>
      <c r="U141">
        <f t="shared" si="74"/>
        <v>-0.00022000191472773038</v>
      </c>
      <c r="V141">
        <f>+'Material Properties'!AE$31+'Material Properties'!AE$33</f>
        <v>0.00029034311030761144</v>
      </c>
      <c r="W141">
        <f t="shared" si="115"/>
        <v>7.034119557988106E-05</v>
      </c>
      <c r="X141" s="1">
        <f>+'Volcano Summary'!E$12*10^9/Q141/3600/24/365</f>
        <v>0</v>
      </c>
      <c r="Y141" s="3">
        <f t="shared" si="116"/>
        <v>8</v>
      </c>
      <c r="Z141" s="1">
        <f>+Y141*'Volcano Summary'!B$19*'Volcano Summary'!B$20/1000</f>
        <v>324000</v>
      </c>
      <c r="AA141" s="1">
        <f t="shared" si="75"/>
        <v>2597213.7595441183</v>
      </c>
      <c r="AB141" s="3">
        <f t="shared" si="32"/>
        <v>721.4482665400328</v>
      </c>
      <c r="AC141" s="1">
        <f t="shared" si="117"/>
        <v>310685491.1021607</v>
      </c>
      <c r="AD141" s="36">
        <f t="shared" si="118"/>
        <v>86301.52530615577</v>
      </c>
      <c r="AE141" s="36">
        <f t="shared" si="28"/>
        <v>3595.8968877564907</v>
      </c>
      <c r="AG141" s="1">
        <f t="shared" si="76"/>
        <v>323999999.99999994</v>
      </c>
      <c r="AH141" s="1">
        <f t="shared" si="119"/>
        <v>324000</v>
      </c>
      <c r="AI141" s="1">
        <f t="shared" si="120"/>
        <v>324323999.99999994</v>
      </c>
      <c r="AJ141" s="1">
        <f t="shared" si="121"/>
        <v>13748137438.240334</v>
      </c>
      <c r="AK141" s="1">
        <f t="shared" si="122"/>
        <v>13761885575.678574</v>
      </c>
      <c r="AL141" s="39">
        <f>+AJ141/('Volcano Summary'!C$8)*10^6</f>
        <v>954.4352684513394</v>
      </c>
      <c r="AM141" s="1">
        <f t="shared" si="77"/>
        <v>3595.8968877564907</v>
      </c>
    </row>
    <row r="142" spans="1:39" ht="12.75" hidden="1">
      <c r="A142" s="1">
        <f t="shared" si="113"/>
        <v>2597213.7595441183</v>
      </c>
      <c r="B142" s="1">
        <f t="shared" si="114"/>
        <v>3625.404279217503</v>
      </c>
      <c r="C142" s="1">
        <f t="shared" si="112"/>
        <v>536</v>
      </c>
      <c r="D142" s="12">
        <f t="shared" si="78"/>
        <v>26.123866405607867</v>
      </c>
      <c r="E142" s="38">
        <f aca="true" t="shared" si="124" ref="E142:E205">+$D142*1000*A$7*$F$11/$F$10</f>
        <v>275809957.7248719</v>
      </c>
      <c r="F142" s="38">
        <f aca="true" t="shared" si="125" ref="F142:F205">+$D142*1000*C$7*$F$11/$F$10</f>
        <v>177331469.9068088</v>
      </c>
      <c r="G142" s="38">
        <f aca="true" t="shared" si="126" ref="G142:G205">+$D142*1000*D$7*$F$11/$F$10</f>
        <v>78852982.0887457</v>
      </c>
      <c r="H142" s="18">
        <f t="shared" si="79"/>
        <v>0.019139586469967086</v>
      </c>
      <c r="I142" s="50">
        <f t="shared" si="123"/>
        <v>0.04812252560378076</v>
      </c>
      <c r="J142" s="3">
        <f t="shared" si="80"/>
        <v>93.60452399467668</v>
      </c>
      <c r="K142" s="12">
        <f t="shared" si="111"/>
        <v>1.0223717623861595</v>
      </c>
      <c r="L142" s="3">
        <f t="shared" si="81"/>
        <v>1615.428502619055</v>
      </c>
      <c r="M142" s="12">
        <v>0.718</v>
      </c>
      <c r="N142" s="37">
        <f t="shared" si="82"/>
        <v>758.2090559316105</v>
      </c>
      <c r="O142" s="1">
        <f aca="true" t="shared" si="127" ref="O142:O205">+L142/J142/P$9</f>
        <v>28094.60719041774</v>
      </c>
      <c r="P142">
        <f t="shared" si="83"/>
        <v>167.61445996815948</v>
      </c>
      <c r="Q142" s="1">
        <f t="shared" si="84"/>
        <v>127.08680145294491</v>
      </c>
      <c r="R142" s="1">
        <f>+Q142*1000/'Material Properties'!AE$35</f>
        <v>108987.9141575092</v>
      </c>
      <c r="S142" s="1">
        <f t="shared" si="85"/>
        <v>203.33566074162167</v>
      </c>
      <c r="T142" s="1">
        <f t="shared" si="86"/>
        <v>-36.139982612422955</v>
      </c>
      <c r="U142">
        <f aca="true" t="shared" si="128" ref="U142:U205">+I$3*0.1*0.9/(T142+0.9)</f>
        <v>-0.0002434138544942437</v>
      </c>
      <c r="V142">
        <f>+'Material Properties'!AE$31+'Material Properties'!AE$33</f>
        <v>0.00029034311030761144</v>
      </c>
      <c r="W142">
        <f t="shared" si="115"/>
        <v>4.6929255813367746E-05</v>
      </c>
      <c r="X142" s="1">
        <f>+'Volcano Summary'!E$12*10^9/Q142/3600/24/365</f>
        <v>0</v>
      </c>
      <c r="Y142" s="3">
        <f t="shared" si="116"/>
        <v>8</v>
      </c>
      <c r="Z142" s="1">
        <f>+Y142*'Volcano Summary'!B$19*'Volcano Summary'!B$20/1000</f>
        <v>324000</v>
      </c>
      <c r="AA142" s="1">
        <f aca="true" t="shared" si="129" ref="AA142:AA205">Z142/(AA$12/100*Q142)</f>
        <v>2549438.622231468</v>
      </c>
      <c r="AB142" s="3">
        <f t="shared" si="32"/>
        <v>708.1773950642967</v>
      </c>
      <c r="AC142" s="1">
        <f t="shared" si="117"/>
        <v>313234929.7243922</v>
      </c>
      <c r="AD142" s="36">
        <f t="shared" si="118"/>
        <v>87009.70270122007</v>
      </c>
      <c r="AE142" s="36">
        <f t="shared" si="28"/>
        <v>3625.404279217503</v>
      </c>
      <c r="AG142" s="1">
        <f aca="true" t="shared" si="130" ref="AG142:AG205">+AA142*Q142</f>
        <v>324000000</v>
      </c>
      <c r="AH142" s="1">
        <f t="shared" si="119"/>
        <v>324000</v>
      </c>
      <c r="AI142" s="1">
        <f t="shared" si="120"/>
        <v>324324000</v>
      </c>
      <c r="AJ142" s="1">
        <f t="shared" si="121"/>
        <v>14072137438.240334</v>
      </c>
      <c r="AK142" s="1">
        <f t="shared" si="122"/>
        <v>14086209575.678574</v>
      </c>
      <c r="AL142" s="39">
        <f>+AJ142/('Volcano Summary'!C$8)*10^6</f>
        <v>976.9282809315677</v>
      </c>
      <c r="AM142" s="1">
        <f aca="true" t="shared" si="131" ref="AM142:AM205">+B142</f>
        <v>3625.404279217503</v>
      </c>
    </row>
    <row r="143" spans="1:39" ht="12.75" hidden="1">
      <c r="A143" s="1">
        <f t="shared" si="113"/>
        <v>2549438.622231468</v>
      </c>
      <c r="B143" s="1">
        <f t="shared" si="114"/>
        <v>3654.3766900513456</v>
      </c>
      <c r="C143" s="1">
        <f t="shared" si="112"/>
        <v>544</v>
      </c>
      <c r="D143" s="12">
        <f aca="true" t="shared" si="132" ref="D143:D206">2*SQRT(C143/PI())</f>
        <v>26.318098569918163</v>
      </c>
      <c r="E143" s="38">
        <f t="shared" si="124"/>
        <v>277860617.61554307</v>
      </c>
      <c r="F143" s="38">
        <f t="shared" si="125"/>
        <v>178649937.65065438</v>
      </c>
      <c r="G143" s="38">
        <f t="shared" si="126"/>
        <v>79439257.68576568</v>
      </c>
      <c r="H143" s="18">
        <f aca="true" t="shared" si="133" ref="H143:H206">+(H$13/1000)/D143</f>
        <v>0.018998332978792956</v>
      </c>
      <c r="I143" s="50">
        <f t="shared" si="123"/>
        <v>0.048032585322960224</v>
      </c>
      <c r="J143" s="3">
        <f aca="true" t="shared" si="134" ref="J143:J206">+J$13*I143/D143+1.5</f>
        <v>92.75390497978817</v>
      </c>
      <c r="K143" s="12">
        <f t="shared" si="111"/>
        <v>1.0201601529474493</v>
      </c>
      <c r="L143" s="3">
        <f aca="true" t="shared" si="135" ref="L143:L206">+L$10*K143</f>
        <v>1611.933984230152</v>
      </c>
      <c r="M143" s="12">
        <v>0.718</v>
      </c>
      <c r="N143" s="37">
        <f aca="true" t="shared" si="136" ref="N143:N206">1.111*10^-6*(D143*1000)^2</f>
        <v>769.5256090052166</v>
      </c>
      <c r="O143" s="1">
        <f t="shared" si="127"/>
        <v>28290.92263153614</v>
      </c>
      <c r="P143">
        <f aca="true" t="shared" si="137" ref="P143:P206">+SQRT(O143)</f>
        <v>168.19905657148064</v>
      </c>
      <c r="Q143" s="1">
        <f aca="true" t="shared" si="138" ref="Q143:Q206">+P143*N143/1000</f>
        <v>129.4334814422715</v>
      </c>
      <c r="R143" s="1">
        <f>+Q143*1000/'Material Properties'!AE$35</f>
        <v>111000.39503127302</v>
      </c>
      <c r="S143" s="1">
        <f aca="true" t="shared" si="139" ref="S143:S206">+R143/C143</f>
        <v>204.04484380748715</v>
      </c>
      <c r="T143" s="1">
        <f aca="true" t="shared" si="140" ref="T143:T206">+L143-L143*K143</f>
        <v>-32.49683566327121</v>
      </c>
      <c r="U143">
        <f t="shared" si="128"/>
        <v>-0.00027147971687465906</v>
      </c>
      <c r="V143">
        <f>+'Material Properties'!AE$31+'Material Properties'!AE$33</f>
        <v>0.00029034311030761144</v>
      </c>
      <c r="W143">
        <f t="shared" si="115"/>
        <v>1.886339343295238E-05</v>
      </c>
      <c r="X143" s="1">
        <f>+'Volcano Summary'!E$12*10^9/Q143/3600/24/365</f>
        <v>0</v>
      </c>
      <c r="Y143" s="3">
        <f t="shared" si="116"/>
        <v>8</v>
      </c>
      <c r="Z143" s="1">
        <f>+Y143*'Volcano Summary'!B$19*'Volcano Summary'!B$20/1000</f>
        <v>324000</v>
      </c>
      <c r="AA143" s="1">
        <f t="shared" si="129"/>
        <v>2503216.296043979</v>
      </c>
      <c r="AB143" s="3">
        <f t="shared" si="32"/>
        <v>695.3378600122164</v>
      </c>
      <c r="AC143" s="1">
        <f t="shared" si="117"/>
        <v>315738146.02043617</v>
      </c>
      <c r="AD143" s="36">
        <f t="shared" si="118"/>
        <v>87705.0405612323</v>
      </c>
      <c r="AE143" s="36">
        <f t="shared" si="28"/>
        <v>3654.3766900513456</v>
      </c>
      <c r="AG143" s="1">
        <f t="shared" si="130"/>
        <v>323999999.99999994</v>
      </c>
      <c r="AH143" s="1">
        <f t="shared" si="119"/>
        <v>324000</v>
      </c>
      <c r="AI143" s="1">
        <f t="shared" si="120"/>
        <v>324323999.99999994</v>
      </c>
      <c r="AJ143" s="1">
        <f t="shared" si="121"/>
        <v>14396137438.240334</v>
      </c>
      <c r="AK143" s="1">
        <f t="shared" si="122"/>
        <v>14410533575.678574</v>
      </c>
      <c r="AL143" s="39">
        <f>+AJ143/('Volcano Summary'!C$8)*10^6</f>
        <v>999.4212934117961</v>
      </c>
      <c r="AM143" s="1">
        <f t="shared" si="131"/>
        <v>3654.3766900513456</v>
      </c>
    </row>
    <row r="144" spans="1:39" ht="12.75" hidden="1">
      <c r="A144" s="1">
        <f t="shared" si="113"/>
        <v>2503216.296043979</v>
      </c>
      <c r="B144" s="1">
        <f t="shared" si="114"/>
        <v>3682.8312611679194</v>
      </c>
      <c r="C144" s="1">
        <f t="shared" si="112"/>
        <v>552</v>
      </c>
      <c r="D144" s="12">
        <f t="shared" si="132"/>
        <v>26.510907730475957</v>
      </c>
      <c r="E144" s="38">
        <f t="shared" si="124"/>
        <v>279896253.7498252</v>
      </c>
      <c r="F144" s="38">
        <f t="shared" si="125"/>
        <v>179958745.89987552</v>
      </c>
      <c r="G144" s="38">
        <f t="shared" si="126"/>
        <v>80021238.04992594</v>
      </c>
      <c r="H144" s="18">
        <f t="shared" si="133"/>
        <v>0.018860161450647672</v>
      </c>
      <c r="I144" s="50">
        <f t="shared" si="123"/>
        <v>0.047944286349092036</v>
      </c>
      <c r="J144" s="3">
        <f t="shared" si="134"/>
        <v>91.9236981179959</v>
      </c>
      <c r="K144" s="12">
        <f t="shared" si="111"/>
        <v>1.0180016151067894</v>
      </c>
      <c r="L144" s="3">
        <f t="shared" si="135"/>
        <v>1608.5233231770285</v>
      </c>
      <c r="M144" s="12">
        <v>0.718</v>
      </c>
      <c r="N144" s="37">
        <f t="shared" si="136"/>
        <v>780.8421620788226</v>
      </c>
      <c r="O144" s="1">
        <f t="shared" si="127"/>
        <v>28486.03061633958</v>
      </c>
      <c r="P144">
        <f t="shared" si="137"/>
        <v>168.7780513465527</v>
      </c>
      <c r="Q144" s="1">
        <f t="shared" si="138"/>
        <v>131.78901852489275</v>
      </c>
      <c r="R144" s="1">
        <f>+Q144*1000/'Material Properties'!AE$35</f>
        <v>113020.4716279022</v>
      </c>
      <c r="S144" s="1">
        <f t="shared" si="139"/>
        <v>204.74723120996774</v>
      </c>
      <c r="T144" s="1">
        <f t="shared" si="140"/>
        <v>-28.956017754126833</v>
      </c>
      <c r="U144">
        <f t="shared" si="128"/>
        <v>-0.0003057418937774322</v>
      </c>
      <c r="V144">
        <f>+'Material Properties'!AE$31+'Material Properties'!AE$33</f>
        <v>0.00029034311030761144</v>
      </c>
      <c r="W144">
        <f t="shared" si="115"/>
        <v>-1.5398783469820776E-05</v>
      </c>
      <c r="X144" s="1">
        <f>+'Volcano Summary'!E$12*10^9/Q144/3600/24/365</f>
        <v>0</v>
      </c>
      <c r="Y144" s="3">
        <f t="shared" si="116"/>
        <v>8</v>
      </c>
      <c r="Z144" s="1">
        <f>+Y144*'Volcano Summary'!B$19*'Volcano Summary'!B$20/1000</f>
        <v>324000</v>
      </c>
      <c r="AA144" s="1">
        <f t="shared" si="129"/>
        <v>2458474.9444719614</v>
      </c>
      <c r="AB144" s="3">
        <f t="shared" si="32"/>
        <v>682.9097067977671</v>
      </c>
      <c r="AC144" s="1">
        <f t="shared" si="117"/>
        <v>318196620.9649081</v>
      </c>
      <c r="AD144" s="36">
        <f t="shared" si="118"/>
        <v>88387.95026803006</v>
      </c>
      <c r="AE144" s="36">
        <f t="shared" si="28"/>
        <v>3682.8312611679194</v>
      </c>
      <c r="AG144" s="1">
        <f t="shared" si="130"/>
        <v>324000000</v>
      </c>
      <c r="AH144" s="1">
        <f t="shared" si="119"/>
        <v>324000</v>
      </c>
      <c r="AI144" s="1">
        <f t="shared" si="120"/>
        <v>324324000</v>
      </c>
      <c r="AJ144" s="1">
        <f t="shared" si="121"/>
        <v>14720137438.240334</v>
      </c>
      <c r="AK144" s="1">
        <f t="shared" si="122"/>
        <v>14734857575.678574</v>
      </c>
      <c r="AL144" s="39">
        <f>+AJ144/('Volcano Summary'!C$8)*10^6</f>
        <v>1021.9143058920242</v>
      </c>
      <c r="AM144" s="1">
        <f t="shared" si="131"/>
        <v>3682.8312611679194</v>
      </c>
    </row>
    <row r="145" spans="1:39" ht="12.75" hidden="1">
      <c r="A145" s="1">
        <f t="shared" si="113"/>
        <v>2458474.9444719614</v>
      </c>
      <c r="B145" s="1">
        <f t="shared" si="114"/>
        <v>3710.7843516527882</v>
      </c>
      <c r="C145" s="1">
        <f t="shared" si="112"/>
        <v>560</v>
      </c>
      <c r="D145" s="12">
        <f t="shared" si="132"/>
        <v>26.702324712498182</v>
      </c>
      <c r="E145" s="38">
        <f t="shared" si="124"/>
        <v>281917191.5734867</v>
      </c>
      <c r="F145" s="38">
        <f t="shared" si="125"/>
        <v>181258103.89918914</v>
      </c>
      <c r="G145" s="38">
        <f t="shared" si="126"/>
        <v>80599016.22489166</v>
      </c>
      <c r="H145" s="18">
        <f t="shared" si="133"/>
        <v>0.01872496141753426</v>
      </c>
      <c r="I145" s="50">
        <f t="shared" si="123"/>
        <v>0.047857575002855236</v>
      </c>
      <c r="J145" s="3">
        <f t="shared" si="134"/>
        <v>91.11312454652163</v>
      </c>
      <c r="K145" s="12">
        <f t="shared" si="111"/>
        <v>1.0158941238209565</v>
      </c>
      <c r="L145" s="3">
        <f t="shared" si="135"/>
        <v>1605.1933197307185</v>
      </c>
      <c r="M145" s="12">
        <v>0.718</v>
      </c>
      <c r="N145" s="37">
        <f t="shared" si="136"/>
        <v>792.158715152429</v>
      </c>
      <c r="O145" s="1">
        <f t="shared" si="127"/>
        <v>28679.955003106606</v>
      </c>
      <c r="P145">
        <f t="shared" si="137"/>
        <v>169.3515721896511</v>
      </c>
      <c r="Q145" s="1">
        <f t="shared" si="138"/>
        <v>134.15332383479785</v>
      </c>
      <c r="R145" s="1">
        <f>+Q145*1000/'Material Properties'!AE$35</f>
        <v>115048.06773711334</v>
      </c>
      <c r="S145" s="1">
        <f t="shared" si="139"/>
        <v>205.4429781019881</v>
      </c>
      <c r="T145" s="1">
        <f t="shared" si="140"/>
        <v>-25.51314138037219</v>
      </c>
      <c r="U145">
        <f t="shared" si="128"/>
        <v>-0.0003485089476161083</v>
      </c>
      <c r="V145">
        <f>+'Material Properties'!AE$31+'Material Properties'!AE$33</f>
        <v>0.00029034311030761144</v>
      </c>
      <c r="W145">
        <f t="shared" si="115"/>
        <v>-5.816583730849684E-05</v>
      </c>
      <c r="X145" s="1">
        <f>+'Volcano Summary'!E$12*10^9/Q145/3600/24/365</f>
        <v>0</v>
      </c>
      <c r="Y145" s="3">
        <f t="shared" si="116"/>
        <v>8</v>
      </c>
      <c r="Z145" s="1">
        <f>+Y145*'Volcano Summary'!B$19*'Volcano Summary'!B$20/1000</f>
        <v>324000</v>
      </c>
      <c r="AA145" s="1">
        <f t="shared" si="129"/>
        <v>2415147.0178926573</v>
      </c>
      <c r="AB145" s="3">
        <f t="shared" si="32"/>
        <v>670.8741716368493</v>
      </c>
      <c r="AC145" s="1">
        <f t="shared" si="117"/>
        <v>320611767.9828008</v>
      </c>
      <c r="AD145" s="36">
        <f t="shared" si="118"/>
        <v>89058.82443966692</v>
      </c>
      <c r="AE145" s="36">
        <f t="shared" si="28"/>
        <v>3710.7843516527882</v>
      </c>
      <c r="AG145" s="1">
        <f t="shared" si="130"/>
        <v>323999999.99999994</v>
      </c>
      <c r="AH145" s="1">
        <f t="shared" si="119"/>
        <v>324000</v>
      </c>
      <c r="AI145" s="1">
        <f t="shared" si="120"/>
        <v>324323999.99999994</v>
      </c>
      <c r="AJ145" s="1">
        <f t="shared" si="121"/>
        <v>15044137438.240334</v>
      </c>
      <c r="AK145" s="1">
        <f t="shared" si="122"/>
        <v>15059181575.678574</v>
      </c>
      <c r="AL145" s="39">
        <f>+AJ145/('Volcano Summary'!C$8)*10^6</f>
        <v>1044.4073183722526</v>
      </c>
      <c r="AM145" s="1">
        <f t="shared" si="131"/>
        <v>3710.7843516527882</v>
      </c>
    </row>
    <row r="146" spans="1:39" ht="12.75" hidden="1">
      <c r="A146" s="1">
        <f t="shared" si="113"/>
        <v>2415147.0178926573</v>
      </c>
      <c r="B146" s="1">
        <f t="shared" si="114"/>
        <v>3738.251584774574</v>
      </c>
      <c r="C146" s="1">
        <f t="shared" si="112"/>
        <v>568</v>
      </c>
      <c r="D146" s="12">
        <f t="shared" si="132"/>
        <v>26.89237924411993</v>
      </c>
      <c r="E146" s="38">
        <f t="shared" si="124"/>
        <v>283923744.94955057</v>
      </c>
      <c r="F146" s="38">
        <f t="shared" si="125"/>
        <v>182548213.44620857</v>
      </c>
      <c r="G146" s="38">
        <f t="shared" si="126"/>
        <v>81172681.94286661</v>
      </c>
      <c r="H146" s="18">
        <f t="shared" si="133"/>
        <v>0.018592627876513602</v>
      </c>
      <c r="I146" s="50">
        <f t="shared" si="123"/>
        <v>0.04777240010765016</v>
      </c>
      <c r="J146" s="3">
        <f t="shared" si="134"/>
        <v>90.32144579694577</v>
      </c>
      <c r="K146" s="12">
        <f t="shared" si="111"/>
        <v>1.013835759072059</v>
      </c>
      <c r="L146" s="3">
        <f t="shared" si="135"/>
        <v>1601.9409401106138</v>
      </c>
      <c r="M146" s="12">
        <v>0.718</v>
      </c>
      <c r="N146" s="37">
        <f t="shared" si="136"/>
        <v>803.4752682260349</v>
      </c>
      <c r="O146" s="1">
        <f t="shared" si="127"/>
        <v>28872.718848731416</v>
      </c>
      <c r="P146">
        <f t="shared" si="137"/>
        <v>169.91974237483828</v>
      </c>
      <c r="Q146" s="1">
        <f t="shared" si="138"/>
        <v>136.52631058152195</v>
      </c>
      <c r="R146" s="1">
        <f>+Q146*1000/'Material Properties'!AE$35</f>
        <v>117083.10892858304</v>
      </c>
      <c r="S146" s="1">
        <f t="shared" si="139"/>
        <v>206.1322340291955</v>
      </c>
      <c r="T146" s="1">
        <f t="shared" si="140"/>
        <v>-22.1640688950381</v>
      </c>
      <c r="U146">
        <f t="shared" si="128"/>
        <v>-0.0004033988058607929</v>
      </c>
      <c r="V146">
        <f>+'Material Properties'!AE$31+'Material Properties'!AE$33</f>
        <v>0.00029034311030761144</v>
      </c>
      <c r="W146">
        <f aca="true" t="shared" si="141" ref="W146:W209">+V146+U146</f>
        <v>-0.00011305569555318144</v>
      </c>
      <c r="X146" s="1">
        <f>+'Volcano Summary'!E$12*10^9/Q146/3600/24/365</f>
        <v>0</v>
      </c>
      <c r="Y146" s="3">
        <f aca="true" t="shared" si="142" ref="Y146:Y209">+C147-C146</f>
        <v>8</v>
      </c>
      <c r="Z146" s="1">
        <f>+Y146*'Volcano Summary'!B$19*'Volcano Summary'!B$20/1000</f>
        <v>324000</v>
      </c>
      <c r="AA146" s="1">
        <f t="shared" si="129"/>
        <v>2373168.941722296</v>
      </c>
      <c r="AB146" s="3">
        <f t="shared" si="32"/>
        <v>659.21359492286</v>
      </c>
      <c r="AC146" s="1">
        <f aca="true" t="shared" si="143" ref="AC146:AC209">+AC145+AA146</f>
        <v>322984936.92452306</v>
      </c>
      <c r="AD146" s="36">
        <f aca="true" t="shared" si="144" ref="AD146:AD209">+AD145+AB146</f>
        <v>89718.03803458977</v>
      </c>
      <c r="AE146" s="36">
        <f t="shared" si="28"/>
        <v>3738.251584774574</v>
      </c>
      <c r="AG146" s="1">
        <f t="shared" si="130"/>
        <v>324000000</v>
      </c>
      <c r="AH146" s="1">
        <f aca="true" t="shared" si="145" ref="AH146:AH209">+Z146</f>
        <v>324000</v>
      </c>
      <c r="AI146" s="1">
        <f aca="true" t="shared" si="146" ref="AI146:AI209">+AH146+AG146</f>
        <v>324324000</v>
      </c>
      <c r="AJ146" s="1">
        <f aca="true" t="shared" si="147" ref="AJ146:AJ209">+AJ145+AG146</f>
        <v>15368137438.240334</v>
      </c>
      <c r="AK146" s="1">
        <f aca="true" t="shared" si="148" ref="AK146:AK209">+AK145+AI146</f>
        <v>15383505575.678574</v>
      </c>
      <c r="AL146" s="39">
        <f>+AJ146/('Volcano Summary'!C$8)*10^6</f>
        <v>1066.900330852481</v>
      </c>
      <c r="AM146" s="1">
        <f t="shared" si="131"/>
        <v>3738.251584774574</v>
      </c>
    </row>
    <row r="147" spans="1:39" ht="12.75" hidden="1">
      <c r="A147" s="1">
        <f t="shared" si="113"/>
        <v>2373168.941722296</v>
      </c>
      <c r="B147" s="1">
        <f t="shared" si="114"/>
        <v>3765.2478906915126</v>
      </c>
      <c r="C147" s="1">
        <f t="shared" si="112"/>
        <v>576</v>
      </c>
      <c r="D147" s="12">
        <f t="shared" si="132"/>
        <v>27.081100010292303</v>
      </c>
      <c r="E147" s="38">
        <f t="shared" si="124"/>
        <v>285916216.7273358</v>
      </c>
      <c r="F147" s="38">
        <f t="shared" si="125"/>
        <v>183829269.2573079</v>
      </c>
      <c r="G147" s="38">
        <f t="shared" si="126"/>
        <v>81742321.78727992</v>
      </c>
      <c r="H147" s="18">
        <f t="shared" si="133"/>
        <v>0.018463060946932456</v>
      </c>
      <c r="I147" s="50">
        <f t="shared" si="123"/>
        <v>0.047688712839189865</v>
      </c>
      <c r="J147" s="3">
        <f t="shared" si="134"/>
        <v>89.54796116307229</v>
      </c>
      <c r="K147" s="12">
        <f t="shared" si="111"/>
        <v>1.011824699023988</v>
      </c>
      <c r="L147" s="3">
        <f t="shared" si="135"/>
        <v>1598.7633056711122</v>
      </c>
      <c r="M147" s="12">
        <v>0.718</v>
      </c>
      <c r="N147" s="37">
        <f t="shared" si="136"/>
        <v>814.7918212996412</v>
      </c>
      <c r="O147" s="1">
        <f t="shared" si="127"/>
        <v>29064.344446449042</v>
      </c>
      <c r="P147">
        <f t="shared" si="137"/>
        <v>170.4826807815065</v>
      </c>
      <c r="Q147" s="1">
        <f t="shared" si="138"/>
        <v>138.90789397400903</v>
      </c>
      <c r="R147" s="1">
        <f>+Q147*1000/'Material Properties'!AE$35</f>
        <v>119125.52248665372</v>
      </c>
      <c r="S147" s="1">
        <f t="shared" si="139"/>
        <v>206.81514320599604</v>
      </c>
      <c r="T147" s="1">
        <f t="shared" si="140"/>
        <v>-18.90489490015716</v>
      </c>
      <c r="U147">
        <f t="shared" si="128"/>
        <v>-0.00047642044274999484</v>
      </c>
      <c r="V147">
        <f>+'Material Properties'!AE$31+'Material Properties'!AE$33</f>
        <v>0.00029034311030761144</v>
      </c>
      <c r="W147">
        <f t="shared" si="141"/>
        <v>-0.0001860773324423834</v>
      </c>
      <c r="X147" s="1">
        <f>+'Volcano Summary'!E$12*10^9/Q147/3600/24/365</f>
        <v>0</v>
      </c>
      <c r="Y147" s="3">
        <f t="shared" si="142"/>
        <v>8</v>
      </c>
      <c r="Z147" s="1">
        <f>+Y147*'Volcano Summary'!B$19*'Volcano Summary'!B$20/1000</f>
        <v>324000</v>
      </c>
      <c r="AA147" s="1">
        <f t="shared" si="129"/>
        <v>2332480.831223483</v>
      </c>
      <c r="AB147" s="3">
        <f t="shared" si="32"/>
        <v>647.9113420065231</v>
      </c>
      <c r="AC147" s="1">
        <f t="shared" si="143"/>
        <v>325317417.75574654</v>
      </c>
      <c r="AD147" s="36">
        <f t="shared" si="144"/>
        <v>90365.9493765963</v>
      </c>
      <c r="AE147" s="36">
        <f t="shared" si="28"/>
        <v>3765.2478906915126</v>
      </c>
      <c r="AG147" s="1">
        <f t="shared" si="130"/>
        <v>324000000.00000006</v>
      </c>
      <c r="AH147" s="1">
        <f t="shared" si="145"/>
        <v>324000</v>
      </c>
      <c r="AI147" s="1">
        <f t="shared" si="146"/>
        <v>324324000.00000006</v>
      </c>
      <c r="AJ147" s="1">
        <f t="shared" si="147"/>
        <v>15692137438.240334</v>
      </c>
      <c r="AK147" s="1">
        <f t="shared" si="148"/>
        <v>15707829575.678574</v>
      </c>
      <c r="AL147" s="39">
        <f>+AJ147/('Volcano Summary'!C$8)*10^6</f>
        <v>1089.3933433327093</v>
      </c>
      <c r="AM147" s="1">
        <f t="shared" si="131"/>
        <v>3765.2478906915126</v>
      </c>
    </row>
    <row r="148" spans="1:39" ht="12.75" hidden="1">
      <c r="A148" s="1">
        <f t="shared" si="113"/>
        <v>2332480.831223483</v>
      </c>
      <c r="B148" s="1">
        <f t="shared" si="114"/>
        <v>3791.787546135483</v>
      </c>
      <c r="C148" s="1">
        <f t="shared" si="112"/>
        <v>584</v>
      </c>
      <c r="D148" s="12">
        <f t="shared" si="132"/>
        <v>27.26851470332286</v>
      </c>
      <c r="E148" s="38">
        <f t="shared" si="124"/>
        <v>287894899.2760524</v>
      </c>
      <c r="F148" s="38">
        <f t="shared" si="125"/>
        <v>185101459.31069553</v>
      </c>
      <c r="G148" s="38">
        <f t="shared" si="126"/>
        <v>82308019.34533869</v>
      </c>
      <c r="H148" s="18">
        <f t="shared" si="133"/>
        <v>0.018336165553566857</v>
      </c>
      <c r="I148" s="50">
        <f t="shared" si="123"/>
        <v>0.047606466586097</v>
      </c>
      <c r="J148" s="3">
        <f t="shared" si="134"/>
        <v>88.79200527430233</v>
      </c>
      <c r="K148" s="12">
        <f t="shared" si="111"/>
        <v>1.009859213713186</v>
      </c>
      <c r="L148" s="3">
        <f t="shared" si="135"/>
        <v>1595.6576829325322</v>
      </c>
      <c r="M148" s="12">
        <v>0.718</v>
      </c>
      <c r="N148" s="37">
        <f t="shared" si="136"/>
        <v>826.1083743732472</v>
      </c>
      <c r="O148" s="1">
        <f t="shared" si="127"/>
        <v>29254.853361289235</v>
      </c>
      <c r="P148">
        <f t="shared" si="137"/>
        <v>171.04050210780264</v>
      </c>
      <c r="Q148" s="1">
        <f t="shared" si="138"/>
        <v>141.2979911482608</v>
      </c>
      <c r="R148" s="1">
        <f>+Q148*1000/'Material Properties'!AE$35</f>
        <v>121175.23734828636</v>
      </c>
      <c r="S148" s="1">
        <f t="shared" si="139"/>
        <v>207.49184477446295</v>
      </c>
      <c r="T148" s="1">
        <f t="shared" si="140"/>
        <v>-15.731930109119276</v>
      </c>
      <c r="U148">
        <f t="shared" si="128"/>
        <v>-0.0005783401038767002</v>
      </c>
      <c r="V148">
        <f>+'Material Properties'!AE$31+'Material Properties'!AE$33</f>
        <v>0.00029034311030761144</v>
      </c>
      <c r="W148">
        <f t="shared" si="141"/>
        <v>-0.00028799699356908876</v>
      </c>
      <c r="X148" s="1">
        <f>+'Volcano Summary'!E$12*10^9/Q148/3600/24/365</f>
        <v>0</v>
      </c>
      <c r="Y148" s="3">
        <f t="shared" si="142"/>
        <v>8</v>
      </c>
      <c r="Z148" s="1">
        <f>+Y148*'Volcano Summary'!B$19*'Volcano Summary'!B$20/1000</f>
        <v>324000</v>
      </c>
      <c r="AA148" s="1">
        <f t="shared" si="129"/>
        <v>2293026.2303590295</v>
      </c>
      <c r="AB148" s="3">
        <f t="shared" si="32"/>
        <v>636.9517306552859</v>
      </c>
      <c r="AC148" s="1">
        <f t="shared" si="143"/>
        <v>327610443.98610556</v>
      </c>
      <c r="AD148" s="36">
        <f t="shared" si="144"/>
        <v>91002.90110725159</v>
      </c>
      <c r="AE148" s="36">
        <f t="shared" si="28"/>
        <v>3791.787546135483</v>
      </c>
      <c r="AG148" s="1">
        <f t="shared" si="130"/>
        <v>323999999.99999994</v>
      </c>
      <c r="AH148" s="1">
        <f t="shared" si="145"/>
        <v>324000</v>
      </c>
      <c r="AI148" s="1">
        <f t="shared" si="146"/>
        <v>324323999.99999994</v>
      </c>
      <c r="AJ148" s="1">
        <f t="shared" si="147"/>
        <v>16016137438.240334</v>
      </c>
      <c r="AK148" s="1">
        <f t="shared" si="148"/>
        <v>16032153575.678574</v>
      </c>
      <c r="AL148" s="39">
        <f>+AJ148/('Volcano Summary'!C$8)*10^6</f>
        <v>1111.8863558129376</v>
      </c>
      <c r="AM148" s="1">
        <f t="shared" si="131"/>
        <v>3791.787546135483</v>
      </c>
    </row>
    <row r="149" spans="1:39" ht="12.75" hidden="1">
      <c r="A149" s="1">
        <f t="shared" si="113"/>
        <v>2293026.2303590295</v>
      </c>
      <c r="B149" s="1">
        <f t="shared" si="114"/>
        <v>3817.8842113249516</v>
      </c>
      <c r="C149" s="1">
        <f t="shared" si="112"/>
        <v>592</v>
      </c>
      <c r="D149" s="12">
        <f t="shared" si="132"/>
        <v>27.45465007031079</v>
      </c>
      <c r="E149" s="38">
        <f t="shared" si="124"/>
        <v>289860074.9856106</v>
      </c>
      <c r="F149" s="38">
        <f t="shared" si="125"/>
        <v>186364965.1684091</v>
      </c>
      <c r="G149" s="38">
        <f t="shared" si="126"/>
        <v>82869855.35120769</v>
      </c>
      <c r="H149" s="18">
        <f t="shared" si="133"/>
        <v>0.018211851133396722</v>
      </c>
      <c r="I149" s="50">
        <f t="shared" si="123"/>
        <v>0.047525616820561035</v>
      </c>
      <c r="J149" s="3">
        <f t="shared" si="134"/>
        <v>88.05294585589128</v>
      </c>
      <c r="K149" s="12">
        <f t="shared" si="111"/>
        <v>1.0079376592253175</v>
      </c>
      <c r="L149" s="3">
        <f t="shared" si="135"/>
        <v>1592.6214743797905</v>
      </c>
      <c r="M149" s="12">
        <v>0.718</v>
      </c>
      <c r="N149" s="37">
        <f t="shared" si="136"/>
        <v>837.4249274468534</v>
      </c>
      <c r="O149" s="1">
        <f t="shared" si="127"/>
        <v>29444.266463424796</v>
      </c>
      <c r="P149">
        <f t="shared" si="137"/>
        <v>171.59331707098852</v>
      </c>
      <c r="Q149" s="1">
        <f t="shared" si="138"/>
        <v>143.6965210985375</v>
      </c>
      <c r="R149" s="1">
        <f>+Q149*1000/'Material Properties'!AE$35</f>
        <v>123232.18404405916</v>
      </c>
      <c r="S149" s="1">
        <f t="shared" si="139"/>
        <v>208.16247304739724</v>
      </c>
      <c r="T149" s="1">
        <f t="shared" si="140"/>
        <v>-12.641686538549493</v>
      </c>
      <c r="U149">
        <f t="shared" si="128"/>
        <v>-0.0007305509282535887</v>
      </c>
      <c r="V149">
        <f>+'Material Properties'!AE$31+'Material Properties'!AE$33</f>
        <v>0.00029034311030761144</v>
      </c>
      <c r="W149">
        <f t="shared" si="141"/>
        <v>-0.0004402078179459773</v>
      </c>
      <c r="X149" s="1">
        <f>+'Volcano Summary'!E$12*10^9/Q149/3600/24/365</f>
        <v>0</v>
      </c>
      <c r="Y149" s="3">
        <f t="shared" si="142"/>
        <v>8</v>
      </c>
      <c r="Z149" s="1">
        <f>+Y149*'Volcano Summary'!B$19*'Volcano Summary'!B$20/1000</f>
        <v>324000</v>
      </c>
      <c r="AA149" s="1">
        <f t="shared" si="129"/>
        <v>2254751.872370121</v>
      </c>
      <c r="AB149" s="3">
        <f t="shared" si="32"/>
        <v>626.3199645472558</v>
      </c>
      <c r="AC149" s="1">
        <f t="shared" si="143"/>
        <v>329865195.8584757</v>
      </c>
      <c r="AD149" s="36">
        <f t="shared" si="144"/>
        <v>91629.22107179883</v>
      </c>
      <c r="AE149" s="36">
        <f t="shared" si="28"/>
        <v>3817.8842113249516</v>
      </c>
      <c r="AG149" s="1">
        <f t="shared" si="130"/>
        <v>324000000</v>
      </c>
      <c r="AH149" s="1">
        <f t="shared" si="145"/>
        <v>324000</v>
      </c>
      <c r="AI149" s="1">
        <f t="shared" si="146"/>
        <v>324324000</v>
      </c>
      <c r="AJ149" s="1">
        <f t="shared" si="147"/>
        <v>16340137438.240334</v>
      </c>
      <c r="AK149" s="1">
        <f t="shared" si="148"/>
        <v>16356477575.678574</v>
      </c>
      <c r="AL149" s="39">
        <f>+AJ149/('Volcano Summary'!C$8)*10^6</f>
        <v>1134.379368293166</v>
      </c>
      <c r="AM149" s="1">
        <f t="shared" si="131"/>
        <v>3817.8842113249516</v>
      </c>
    </row>
    <row r="150" spans="1:39" ht="12.75" hidden="1">
      <c r="A150" s="1">
        <f t="shared" si="113"/>
        <v>2254751.872370121</v>
      </c>
      <c r="B150" s="1">
        <f t="shared" si="114"/>
        <v>3843.550964334312</v>
      </c>
      <c r="C150" s="1">
        <f t="shared" si="112"/>
        <v>600</v>
      </c>
      <c r="D150" s="12">
        <f t="shared" si="132"/>
        <v>27.63953195770684</v>
      </c>
      <c r="E150" s="38">
        <f t="shared" si="124"/>
        <v>291812016.7370755</v>
      </c>
      <c r="F150" s="38">
        <f t="shared" si="125"/>
        <v>187619962.27879277</v>
      </c>
      <c r="G150" s="38">
        <f t="shared" si="126"/>
        <v>83427907.82051003</v>
      </c>
      <c r="H150" s="18">
        <f t="shared" si="133"/>
        <v>0.01809003136395669</v>
      </c>
      <c r="I150" s="50">
        <f t="shared" si="123"/>
        <v>0.04744612097820367</v>
      </c>
      <c r="J150" s="3">
        <f t="shared" si="134"/>
        <v>87.3301816593788</v>
      </c>
      <c r="K150" s="12">
        <f t="shared" si="111"/>
        <v>1.006058472314385</v>
      </c>
      <c r="L150" s="3">
        <f t="shared" si="135"/>
        <v>1589.6522099601787</v>
      </c>
      <c r="M150" s="12">
        <v>0.718</v>
      </c>
      <c r="N150" s="37">
        <f t="shared" si="136"/>
        <v>848.7414805204596</v>
      </c>
      <c r="O150" s="1">
        <f t="shared" si="127"/>
        <v>29632.60395956605</v>
      </c>
      <c r="P150">
        <f t="shared" si="137"/>
        <v>172.14123259569757</v>
      </c>
      <c r="Q150" s="1">
        <f t="shared" si="138"/>
        <v>146.10340461188915</v>
      </c>
      <c r="R150" s="1">
        <f>+Q150*1000/'Material Properties'!AE$35</f>
        <v>125296.29464202258</v>
      </c>
      <c r="S150" s="1">
        <f t="shared" si="139"/>
        <v>208.8271577367043</v>
      </c>
      <c r="T150" s="1">
        <f t="shared" si="140"/>
        <v>-9.63086390354465</v>
      </c>
      <c r="U150">
        <f t="shared" si="128"/>
        <v>-0.0009824800952993268</v>
      </c>
      <c r="V150">
        <f>+'Material Properties'!AE$31+'Material Properties'!AE$33</f>
        <v>0.00029034311030761144</v>
      </c>
      <c r="W150">
        <f t="shared" si="141"/>
        <v>-0.0006921369849917153</v>
      </c>
      <c r="X150" s="1">
        <f>+'Volcano Summary'!E$12*10^9/Q150/3600/24/365</f>
        <v>0</v>
      </c>
      <c r="Y150" s="3">
        <f t="shared" si="142"/>
        <v>8</v>
      </c>
      <c r="Z150" s="1">
        <f>+Y150*'Volcano Summary'!B$19*'Volcano Summary'!B$20/1000</f>
        <v>324000</v>
      </c>
      <c r="AA150" s="1">
        <f t="shared" si="129"/>
        <v>2217607.4600087353</v>
      </c>
      <c r="AB150" s="3">
        <f t="shared" si="32"/>
        <v>616.0020722246487</v>
      </c>
      <c r="AC150" s="1">
        <f t="shared" si="143"/>
        <v>332082803.3184844</v>
      </c>
      <c r="AD150" s="36">
        <f t="shared" si="144"/>
        <v>92245.22314402349</v>
      </c>
      <c r="AE150" s="36">
        <f t="shared" si="28"/>
        <v>3843.550964334312</v>
      </c>
      <c r="AG150" s="1">
        <f t="shared" si="130"/>
        <v>324000000.00000006</v>
      </c>
      <c r="AH150" s="1">
        <f t="shared" si="145"/>
        <v>324000</v>
      </c>
      <c r="AI150" s="1">
        <f t="shared" si="146"/>
        <v>324324000.00000006</v>
      </c>
      <c r="AJ150" s="1">
        <f t="shared" si="147"/>
        <v>16664137438.240334</v>
      </c>
      <c r="AK150" s="1">
        <f t="shared" si="148"/>
        <v>16680801575.678574</v>
      </c>
      <c r="AL150" s="39">
        <f>+AJ150/('Volcano Summary'!C$8)*10^6</f>
        <v>1156.872380773394</v>
      </c>
      <c r="AM150" s="1">
        <f t="shared" si="131"/>
        <v>3843.550964334312</v>
      </c>
    </row>
    <row r="151" spans="1:39" ht="12.75" hidden="1">
      <c r="A151" s="1">
        <f t="shared" si="113"/>
        <v>2217607.4600087353</v>
      </c>
      <c r="B151" s="1">
        <f t="shared" si="114"/>
        <v>3868.800333125699</v>
      </c>
      <c r="C151" s="1">
        <f t="shared" si="112"/>
        <v>608</v>
      </c>
      <c r="D151" s="12">
        <f t="shared" si="132"/>
        <v>27.823185353208192</v>
      </c>
      <c r="E151" s="38">
        <f t="shared" si="124"/>
        <v>293750988.34498364</v>
      </c>
      <c r="F151" s="38">
        <f t="shared" si="125"/>
        <v>188866620.26088384</v>
      </c>
      <c r="G151" s="38">
        <f t="shared" si="126"/>
        <v>83982252.17678405</v>
      </c>
      <c r="H151" s="18">
        <f t="shared" si="133"/>
        <v>0.017970623911411594</v>
      </c>
      <c r="I151" s="50">
        <f t="shared" si="123"/>
        <v>0.0473679383463829</v>
      </c>
      <c r="J151" s="3">
        <f t="shared" si="134"/>
        <v>86.62314054817787</v>
      </c>
      <c r="K151" s="12">
        <f t="shared" si="111"/>
        <v>1.0042201654252625</v>
      </c>
      <c r="L151" s="3">
        <f t="shared" si="135"/>
        <v>1586.7475392185704</v>
      </c>
      <c r="M151" s="12">
        <v>0.718</v>
      </c>
      <c r="N151" s="37">
        <f t="shared" si="136"/>
        <v>860.0580335940655</v>
      </c>
      <c r="O151" s="1">
        <f t="shared" si="127"/>
        <v>29819.885422540214</v>
      </c>
      <c r="P151">
        <f t="shared" si="137"/>
        <v>172.68435199096706</v>
      </c>
      <c r="Q151" s="1">
        <f t="shared" si="138"/>
        <v>148.51856420581657</v>
      </c>
      <c r="R151" s="1">
        <f>+Q151*1000/'Material Properties'!AE$35</f>
        <v>127367.50269423804</v>
      </c>
      <c r="S151" s="1">
        <f t="shared" si="139"/>
        <v>209.48602416815467</v>
      </c>
      <c r="T151" s="1">
        <f t="shared" si="140"/>
        <v>-6.69633710363064</v>
      </c>
      <c r="U151">
        <f t="shared" si="128"/>
        <v>-0.0014798828719998149</v>
      </c>
      <c r="V151">
        <f>+'Material Properties'!AE$31+'Material Properties'!AE$33</f>
        <v>0.00029034311030761144</v>
      </c>
      <c r="W151">
        <f t="shared" si="141"/>
        <v>-0.0011895397616922035</v>
      </c>
      <c r="X151" s="1">
        <f>+'Volcano Summary'!E$12*10^9/Q151/3600/24/365</f>
        <v>0</v>
      </c>
      <c r="Y151" s="3">
        <f t="shared" si="142"/>
        <v>8</v>
      </c>
      <c r="Z151" s="1">
        <f>+Y151*'Volcano Summary'!B$19*'Volcano Summary'!B$20/1000</f>
        <v>324000</v>
      </c>
      <c r="AA151" s="1">
        <f t="shared" si="129"/>
        <v>2181545.463575865</v>
      </c>
      <c r="AB151" s="3">
        <f t="shared" si="32"/>
        <v>605.9848509932958</v>
      </c>
      <c r="AC151" s="1">
        <f t="shared" si="143"/>
        <v>334264348.78206027</v>
      </c>
      <c r="AD151" s="36">
        <f t="shared" si="144"/>
        <v>92851.20799501678</v>
      </c>
      <c r="AE151" s="36">
        <f t="shared" si="28"/>
        <v>3868.800333125699</v>
      </c>
      <c r="AG151" s="1">
        <f t="shared" si="130"/>
        <v>324000000</v>
      </c>
      <c r="AH151" s="1">
        <f t="shared" si="145"/>
        <v>324000</v>
      </c>
      <c r="AI151" s="1">
        <f t="shared" si="146"/>
        <v>324324000</v>
      </c>
      <c r="AJ151" s="1">
        <f t="shared" si="147"/>
        <v>16988137438.240334</v>
      </c>
      <c r="AK151" s="1">
        <f t="shared" si="148"/>
        <v>17005125575.678574</v>
      </c>
      <c r="AL151" s="39">
        <f>+AJ151/('Volcano Summary'!C$8)*10^6</f>
        <v>1179.3653932536224</v>
      </c>
      <c r="AM151" s="1">
        <f t="shared" si="131"/>
        <v>3868.800333125699</v>
      </c>
    </row>
    <row r="152" spans="1:39" ht="12.75" hidden="1">
      <c r="A152" s="1">
        <f t="shared" si="113"/>
        <v>2181545.463575865</v>
      </c>
      <c r="B152" s="1">
        <f t="shared" si="114"/>
        <v>3893.6443254302426</v>
      </c>
      <c r="C152" s="1">
        <f t="shared" si="112"/>
        <v>616</v>
      </c>
      <c r="D152" s="12">
        <f t="shared" si="132"/>
        <v>28.00563442518059</v>
      </c>
      <c r="E152" s="38">
        <f t="shared" si="124"/>
        <v>295677244.97355247</v>
      </c>
      <c r="F152" s="38">
        <f t="shared" si="125"/>
        <v>190105103.17201424</v>
      </c>
      <c r="G152" s="38">
        <f t="shared" si="126"/>
        <v>84532961.37047598</v>
      </c>
      <c r="H152" s="18">
        <f t="shared" si="133"/>
        <v>0.01785355019668603</v>
      </c>
      <c r="I152" s="50">
        <f t="shared" si="123"/>
        <v>0.04729102996023958</v>
      </c>
      <c r="J152" s="3">
        <f t="shared" si="134"/>
        <v>85.93127772481203</v>
      </c>
      <c r="K152" s="12">
        <f t="shared" si="111"/>
        <v>1.0024213220845115</v>
      </c>
      <c r="L152" s="3">
        <f t="shared" si="135"/>
        <v>1583.9052240145459</v>
      </c>
      <c r="M152" s="12">
        <v>0.718</v>
      </c>
      <c r="N152" s="37">
        <f t="shared" si="136"/>
        <v>871.3745866676719</v>
      </c>
      <c r="O152" s="1">
        <f t="shared" si="127"/>
        <v>30006.12981918302</v>
      </c>
      <c r="P152">
        <f t="shared" si="137"/>
        <v>173.22277511685067</v>
      </c>
      <c r="Q152" s="1">
        <f t="shared" si="138"/>
        <v>150.94192406887285</v>
      </c>
      <c r="R152" s="1">
        <f>+Q152*1000/'Material Properties'!AE$35</f>
        <v>129445.74318583874</v>
      </c>
      <c r="S152" s="1">
        <f t="shared" si="139"/>
        <v>210.13919348350444</v>
      </c>
      <c r="T152" s="1">
        <f t="shared" si="140"/>
        <v>-3.835144698679642</v>
      </c>
      <c r="U152">
        <f t="shared" si="128"/>
        <v>-0.0029224794279677996</v>
      </c>
      <c r="V152">
        <f>+'Material Properties'!AE$31+'Material Properties'!AE$33</f>
        <v>0.00029034311030761144</v>
      </c>
      <c r="W152">
        <f t="shared" si="141"/>
        <v>-0.0026321363176601883</v>
      </c>
      <c r="X152" s="1">
        <f>+'Volcano Summary'!E$12*10^9/Q152/3600/24/365</f>
        <v>0</v>
      </c>
      <c r="Y152" s="3">
        <f t="shared" si="142"/>
        <v>8</v>
      </c>
      <c r="Z152" s="1">
        <f>+Y152*'Volcano Summary'!B$19*'Volcano Summary'!B$20/1000</f>
        <v>324000</v>
      </c>
      <c r="AA152" s="1">
        <f t="shared" si="129"/>
        <v>2146520.93511252</v>
      </c>
      <c r="AB152" s="3">
        <f t="shared" si="32"/>
        <v>596.2558153090333</v>
      </c>
      <c r="AC152" s="1">
        <f t="shared" si="143"/>
        <v>336410869.7171728</v>
      </c>
      <c r="AD152" s="36">
        <f t="shared" si="144"/>
        <v>93447.46381032582</v>
      </c>
      <c r="AE152" s="36">
        <f t="shared" si="28"/>
        <v>3893.6443254302426</v>
      </c>
      <c r="AG152" s="1">
        <f t="shared" si="130"/>
        <v>323999999.99999994</v>
      </c>
      <c r="AH152" s="1">
        <f t="shared" si="145"/>
        <v>324000</v>
      </c>
      <c r="AI152" s="1">
        <f t="shared" si="146"/>
        <v>324323999.99999994</v>
      </c>
      <c r="AJ152" s="1">
        <f t="shared" si="147"/>
        <v>17312137438.240334</v>
      </c>
      <c r="AK152" s="1">
        <f t="shared" si="148"/>
        <v>17329449575.678574</v>
      </c>
      <c r="AL152" s="39">
        <f>+AJ152/('Volcano Summary'!C$8)*10^6</f>
        <v>1201.858405733851</v>
      </c>
      <c r="AM152" s="1">
        <f t="shared" si="131"/>
        <v>3893.6443254302426</v>
      </c>
    </row>
    <row r="153" spans="1:39" ht="12.75" hidden="1">
      <c r="A153" s="1">
        <f t="shared" si="113"/>
        <v>2146520.93511252</v>
      </c>
      <c r="B153" s="1">
        <f t="shared" si="114"/>
        <v>3918.0944566485646</v>
      </c>
      <c r="C153" s="1">
        <f t="shared" si="112"/>
        <v>624</v>
      </c>
      <c r="D153" s="12">
        <f t="shared" si="132"/>
        <v>28.18690255978371</v>
      </c>
      <c r="E153" s="38">
        <f t="shared" si="124"/>
        <v>297591033.5286425</v>
      </c>
      <c r="F153" s="38">
        <f t="shared" si="125"/>
        <v>191335569.7598213</v>
      </c>
      <c r="G153" s="38">
        <f t="shared" si="126"/>
        <v>85080105.99100015</v>
      </c>
      <c r="H153" s="18">
        <f t="shared" si="133"/>
        <v>0.01773873517813859</v>
      </c>
      <c r="I153" s="50">
        <f t="shared" si="123"/>
        <v>0.047215358505856335</v>
      </c>
      <c r="J153" s="3">
        <f t="shared" si="134"/>
        <v>85.2540740876259</v>
      </c>
      <c r="K153" s="12">
        <f t="shared" si="111"/>
        <v>1.0006605926278274</v>
      </c>
      <c r="L153" s="3">
        <f t="shared" si="135"/>
        <v>1581.1231317714169</v>
      </c>
      <c r="M153" s="12">
        <v>0.718</v>
      </c>
      <c r="N153" s="37">
        <f t="shared" si="136"/>
        <v>882.6911397412778</v>
      </c>
      <c r="O153" s="1">
        <f t="shared" si="127"/>
        <v>30191.355536659365</v>
      </c>
      <c r="P153">
        <f t="shared" si="137"/>
        <v>173.75659854134852</v>
      </c>
      <c r="Q153" s="1">
        <f t="shared" si="138"/>
        <v>153.37341000403057</v>
      </c>
      <c r="R153" s="1">
        <f>+Q153*1000/'Material Properties'!AE$35</f>
        <v>131530.95248646216</v>
      </c>
      <c r="S153" s="1">
        <f t="shared" si="139"/>
        <v>210.78678283086884</v>
      </c>
      <c r="T153" s="1">
        <f t="shared" si="140"/>
        <v>-1.044478284535444</v>
      </c>
      <c r="U153">
        <f t="shared" si="128"/>
        <v>-0.05937155211650954</v>
      </c>
      <c r="V153">
        <f>+'Material Properties'!AE$31+'Material Properties'!AE$33</f>
        <v>0.00029034311030761144</v>
      </c>
      <c r="W153">
        <f t="shared" si="141"/>
        <v>-0.05908120900620193</v>
      </c>
      <c r="X153" s="1">
        <f>+'Volcano Summary'!E$12*10^9/Q153/3600/24/365</f>
        <v>0</v>
      </c>
      <c r="Y153" s="3">
        <f t="shared" si="142"/>
        <v>8</v>
      </c>
      <c r="Z153" s="1">
        <f>+Y153*'Volcano Summary'!B$19*'Volcano Summary'!B$20/1000</f>
        <v>324000</v>
      </c>
      <c r="AA153" s="1">
        <f t="shared" si="129"/>
        <v>2112491.337262994</v>
      </c>
      <c r="AB153" s="3">
        <f t="shared" si="32"/>
        <v>586.8031492397206</v>
      </c>
      <c r="AC153" s="1">
        <f t="shared" si="143"/>
        <v>338523361.0544358</v>
      </c>
      <c r="AD153" s="36">
        <f t="shared" si="144"/>
        <v>94034.26695956555</v>
      </c>
      <c r="AE153" s="36">
        <f t="shared" si="28"/>
        <v>3918.0944566485646</v>
      </c>
      <c r="AG153" s="1">
        <f t="shared" si="130"/>
        <v>324000000.00000006</v>
      </c>
      <c r="AH153" s="1">
        <f t="shared" si="145"/>
        <v>324000</v>
      </c>
      <c r="AI153" s="1">
        <f t="shared" si="146"/>
        <v>324324000.00000006</v>
      </c>
      <c r="AJ153" s="1">
        <f t="shared" si="147"/>
        <v>17636137438.240334</v>
      </c>
      <c r="AK153" s="1">
        <f t="shared" si="148"/>
        <v>17653773575.678574</v>
      </c>
      <c r="AL153" s="39">
        <f>+AJ153/('Volcano Summary'!C$8)*10^6</f>
        <v>1224.351418214079</v>
      </c>
      <c r="AM153" s="1">
        <f t="shared" si="131"/>
        <v>3918.0944566485646</v>
      </c>
    </row>
    <row r="154" spans="1:39" ht="12.75" hidden="1">
      <c r="A154" s="1">
        <f t="shared" si="113"/>
        <v>2112491.337262994</v>
      </c>
      <c r="B154" s="1">
        <f t="shared" si="114"/>
        <v>3942.1617759249816</v>
      </c>
      <c r="C154" s="1">
        <f t="shared" si="112"/>
        <v>632</v>
      </c>
      <c r="D154" s="12">
        <f t="shared" si="132"/>
        <v>28.367012395961314</v>
      </c>
      <c r="E154" s="38">
        <f t="shared" si="124"/>
        <v>299492593.02717507</v>
      </c>
      <c r="F154" s="38">
        <f t="shared" si="125"/>
        <v>192558173.69976464</v>
      </c>
      <c r="G154" s="38">
        <f t="shared" si="126"/>
        <v>85623754.37235424</v>
      </c>
      <c r="H154" s="18">
        <f t="shared" si="133"/>
        <v>0.017626107149415083</v>
      </c>
      <c r="I154" s="50">
        <f t="shared" si="123"/>
        <v>0.04714088822995711</v>
      </c>
      <c r="J154" s="3">
        <f t="shared" si="134"/>
        <v>84.59103470598244</v>
      </c>
      <c r="K154" s="12">
        <f t="shared" si="111"/>
        <v>0.9989366902355544</v>
      </c>
      <c r="L154" s="3">
        <f t="shared" si="135"/>
        <v>1578.3992292120276</v>
      </c>
      <c r="M154" s="12">
        <v>0.718</v>
      </c>
      <c r="N154" s="37">
        <f t="shared" si="136"/>
        <v>894.0076928148841</v>
      </c>
      <c r="O154" s="1">
        <f t="shared" si="127"/>
        <v>30375.58040732046</v>
      </c>
      <c r="P154">
        <f t="shared" si="137"/>
        <v>174.28591568833227</v>
      </c>
      <c r="Q154" s="1">
        <f t="shared" si="138"/>
        <v>155.81294937465535</v>
      </c>
      <c r="R154" s="1">
        <f>+Q154*1000/'Material Properties'!AE$35</f>
        <v>133623.06830391753</v>
      </c>
      <c r="S154" s="1">
        <f t="shared" si="139"/>
        <v>211.42890554417332</v>
      </c>
      <c r="T154" s="1">
        <f t="shared" si="140"/>
        <v>1.678327312614556</v>
      </c>
      <c r="U154">
        <f t="shared" si="128"/>
        <v>0.003326924381567975</v>
      </c>
      <c r="V154">
        <f>+'Material Properties'!AE$31+'Material Properties'!AE$33</f>
        <v>0.00029034311030761144</v>
      </c>
      <c r="W154">
        <f t="shared" si="141"/>
        <v>0.0036172674918755862</v>
      </c>
      <c r="X154" s="1">
        <f>+'Volcano Summary'!E$12*10^9/Q154/3600/24/365</f>
        <v>0</v>
      </c>
      <c r="Y154" s="3">
        <f t="shared" si="142"/>
        <v>8</v>
      </c>
      <c r="Z154" s="1">
        <f>+Y154*'Volcano Summary'!B$19*'Volcano Summary'!B$20/1000</f>
        <v>324000</v>
      </c>
      <c r="AA154" s="1">
        <f t="shared" si="129"/>
        <v>2079416.385482413</v>
      </c>
      <c r="AB154" s="3">
        <f t="shared" si="32"/>
        <v>577.6156626340036</v>
      </c>
      <c r="AC154" s="1">
        <f t="shared" si="143"/>
        <v>340602777.4399182</v>
      </c>
      <c r="AD154" s="36">
        <f t="shared" si="144"/>
        <v>94611.88262219956</v>
      </c>
      <c r="AE154" s="36">
        <f t="shared" si="28"/>
        <v>3942.1617759249816</v>
      </c>
      <c r="AG154" s="1">
        <f t="shared" si="130"/>
        <v>324000000</v>
      </c>
      <c r="AH154" s="1">
        <f t="shared" si="145"/>
        <v>324000</v>
      </c>
      <c r="AI154" s="1">
        <f t="shared" si="146"/>
        <v>324324000</v>
      </c>
      <c r="AJ154" s="1">
        <f t="shared" si="147"/>
        <v>17960137438.240334</v>
      </c>
      <c r="AK154" s="1">
        <f t="shared" si="148"/>
        <v>17978097575.678574</v>
      </c>
      <c r="AL154" s="39">
        <f>+AJ154/('Volcano Summary'!C$8)*10^6</f>
        <v>1246.8444306943074</v>
      </c>
      <c r="AM154" s="1">
        <f t="shared" si="131"/>
        <v>3942.1617759249816</v>
      </c>
    </row>
    <row r="155" spans="1:39" ht="12.75" hidden="1">
      <c r="A155" s="1">
        <f t="shared" si="113"/>
        <v>2079416.385482413</v>
      </c>
      <c r="B155" s="1">
        <f t="shared" si="114"/>
        <v>3965.8568905360444</v>
      </c>
      <c r="C155" s="1">
        <f t="shared" si="112"/>
        <v>640</v>
      </c>
      <c r="D155" s="12">
        <f t="shared" si="132"/>
        <v>28.54598585844434</v>
      </c>
      <c r="E155" s="38">
        <f t="shared" si="124"/>
        <v>301382154.94557166</v>
      </c>
      <c r="F155" s="38">
        <f t="shared" si="125"/>
        <v>193773063.8191542</v>
      </c>
      <c r="G155" s="38">
        <f t="shared" si="126"/>
        <v>86163972.69273676</v>
      </c>
      <c r="H155" s="18">
        <f t="shared" si="133"/>
        <v>0.017515597551243527</v>
      </c>
      <c r="I155" s="50">
        <f t="shared" si="123"/>
        <v>0.0470675848556284</v>
      </c>
      <c r="J155" s="3">
        <f t="shared" si="134"/>
        <v>83.94168740401915</v>
      </c>
      <c r="K155" s="12">
        <f t="shared" si="111"/>
        <v>0.9972483872504498</v>
      </c>
      <c r="L155" s="3">
        <f t="shared" si="135"/>
        <v>1575.7315765405285</v>
      </c>
      <c r="M155" s="12">
        <v>0.718</v>
      </c>
      <c r="N155" s="37">
        <f t="shared" si="136"/>
        <v>905.3242458884903</v>
      </c>
      <c r="O155" s="1">
        <f t="shared" si="127"/>
        <v>30558.82173219605</v>
      </c>
      <c r="P155">
        <f t="shared" si="137"/>
        <v>174.8108169770854</v>
      </c>
      <c r="Q155" s="1">
        <f t="shared" si="138"/>
        <v>158.26047105293074</v>
      </c>
      <c r="R155" s="1">
        <f>+Q155*1000/'Material Properties'!AE$35</f>
        <v>135722.02963995596</v>
      </c>
      <c r="S155" s="1">
        <f t="shared" si="139"/>
        <v>212.0656713124312</v>
      </c>
      <c r="T155" s="1">
        <f t="shared" si="140"/>
        <v>4.335803095877736</v>
      </c>
      <c r="U155">
        <f t="shared" si="128"/>
        <v>0.001638316002898117</v>
      </c>
      <c r="V155">
        <f>+'Material Properties'!AE$31+'Material Properties'!AE$33</f>
        <v>0.00029034311030761144</v>
      </c>
      <c r="W155">
        <f t="shared" si="141"/>
        <v>0.0019286591132057283</v>
      </c>
      <c r="X155" s="1">
        <f>+'Volcano Summary'!E$12*10^9/Q155/3600/24/365</f>
        <v>0</v>
      </c>
      <c r="Y155" s="3">
        <f t="shared" si="142"/>
        <v>8</v>
      </c>
      <c r="Z155" s="1">
        <f>+Y155*'Volcano Summary'!B$19*'Volcano Summary'!B$20/1000</f>
        <v>324000</v>
      </c>
      <c r="AA155" s="1">
        <f t="shared" si="129"/>
        <v>2047257.9023958363</v>
      </c>
      <c r="AB155" s="3">
        <f t="shared" si="32"/>
        <v>568.6827506655101</v>
      </c>
      <c r="AC155" s="1">
        <f t="shared" si="143"/>
        <v>342650035.34231406</v>
      </c>
      <c r="AD155" s="36">
        <f t="shared" si="144"/>
        <v>95180.56537286507</v>
      </c>
      <c r="AE155" s="36">
        <f t="shared" si="28"/>
        <v>3965.8568905360444</v>
      </c>
      <c r="AG155" s="1">
        <f t="shared" si="130"/>
        <v>323999999.99999994</v>
      </c>
      <c r="AH155" s="1">
        <f t="shared" si="145"/>
        <v>324000</v>
      </c>
      <c r="AI155" s="1">
        <f t="shared" si="146"/>
        <v>324323999.99999994</v>
      </c>
      <c r="AJ155" s="1">
        <f t="shared" si="147"/>
        <v>18284137438.240334</v>
      </c>
      <c r="AK155" s="1">
        <f t="shared" si="148"/>
        <v>18302421575.678574</v>
      </c>
      <c r="AL155" s="39">
        <f>+AJ155/('Volcano Summary'!C$8)*10^6</f>
        <v>1269.3374431745358</v>
      </c>
      <c r="AM155" s="1">
        <f t="shared" si="131"/>
        <v>3965.8568905360444</v>
      </c>
    </row>
    <row r="156" spans="1:39" ht="12.75" hidden="1">
      <c r="A156" s="1">
        <f t="shared" si="113"/>
        <v>2047257.9023958363</v>
      </c>
      <c r="B156" s="1">
        <f t="shared" si="114"/>
        <v>3989.189988721646</v>
      </c>
      <c r="C156" s="1">
        <f t="shared" si="112"/>
        <v>648</v>
      </c>
      <c r="D156" s="12">
        <f t="shared" si="132"/>
        <v>28.723844188903154</v>
      </c>
      <c r="E156" s="38">
        <f t="shared" si="124"/>
        <v>303259943.54865265</v>
      </c>
      <c r="F156" s="38">
        <f t="shared" si="125"/>
        <v>194980384.3086152</v>
      </c>
      <c r="G156" s="38">
        <f t="shared" si="126"/>
        <v>86700825.06857774</v>
      </c>
      <c r="H156" s="18">
        <f t="shared" si="133"/>
        <v>0.017407140796048614</v>
      </c>
      <c r="I156" s="50">
        <f t="shared" si="123"/>
        <v>0.04699541550359032</v>
      </c>
      <c r="J156" s="3">
        <f t="shared" si="134"/>
        <v>83.30558144398026</v>
      </c>
      <c r="K156" s="12">
        <f t="shared" si="111"/>
        <v>0.9955945117543488</v>
      </c>
      <c r="L156" s="3">
        <f t="shared" si="135"/>
        <v>1573.1183220332355</v>
      </c>
      <c r="M156" s="12">
        <v>0.718</v>
      </c>
      <c r="N156" s="37">
        <f t="shared" si="136"/>
        <v>916.6407989620963</v>
      </c>
      <c r="O156" s="1">
        <f t="shared" si="127"/>
        <v>30741.096303212842</v>
      </c>
      <c r="P156">
        <f t="shared" si="137"/>
        <v>175.33138995403203</v>
      </c>
      <c r="Q156" s="1">
        <f t="shared" si="138"/>
        <v>160.71590537059876</v>
      </c>
      <c r="R156" s="1">
        <f>+Q156*1000/'Material Properties'!AE$35</f>
        <v>137827.77674802596</v>
      </c>
      <c r="S156" s="1">
        <f t="shared" si="139"/>
        <v>212.69718633954625</v>
      </c>
      <c r="T156" s="1">
        <f t="shared" si="140"/>
        <v>6.930354276736125</v>
      </c>
      <c r="U156">
        <f t="shared" si="128"/>
        <v>0.0010954676757710467</v>
      </c>
      <c r="V156">
        <f>+'Material Properties'!AE$31+'Material Properties'!AE$33</f>
        <v>0.00029034311030761144</v>
      </c>
      <c r="W156">
        <f t="shared" si="141"/>
        <v>0.0013858107860786582</v>
      </c>
      <c r="X156" s="1">
        <f>+'Volcano Summary'!E$12*10^9/Q156/3600/24/365</f>
        <v>0</v>
      </c>
      <c r="Y156" s="3">
        <f t="shared" si="142"/>
        <v>8</v>
      </c>
      <c r="Z156" s="1">
        <f>+Y156*'Volcano Summary'!B$19*'Volcano Summary'!B$20/1000</f>
        <v>324000</v>
      </c>
      <c r="AA156" s="1">
        <f t="shared" si="129"/>
        <v>2015979.6832359587</v>
      </c>
      <c r="AB156" s="3">
        <f t="shared" si="32"/>
        <v>559.9943564544329</v>
      </c>
      <c r="AC156" s="1">
        <f t="shared" si="143"/>
        <v>344666015.02555</v>
      </c>
      <c r="AD156" s="36">
        <f t="shared" si="144"/>
        <v>95740.5597293195</v>
      </c>
      <c r="AE156" s="36">
        <f t="shared" si="28"/>
        <v>3989.189988721646</v>
      </c>
      <c r="AG156" s="1">
        <f t="shared" si="130"/>
        <v>324000000</v>
      </c>
      <c r="AH156" s="1">
        <f t="shared" si="145"/>
        <v>324000</v>
      </c>
      <c r="AI156" s="1">
        <f t="shared" si="146"/>
        <v>324324000</v>
      </c>
      <c r="AJ156" s="1">
        <f t="shared" si="147"/>
        <v>18608137438.240334</v>
      </c>
      <c r="AK156" s="1">
        <f t="shared" si="148"/>
        <v>18626745575.678574</v>
      </c>
      <c r="AL156" s="39">
        <f>+AJ156/('Volcano Summary'!C$8)*10^6</f>
        <v>1291.8304556547641</v>
      </c>
      <c r="AM156" s="1">
        <f t="shared" si="131"/>
        <v>3989.189988721646</v>
      </c>
    </row>
    <row r="157" spans="1:39" ht="12.75" hidden="1">
      <c r="A157" s="1">
        <f t="shared" si="113"/>
        <v>2015979.6832359587</v>
      </c>
      <c r="B157" s="1">
        <f t="shared" si="114"/>
        <v>4012.170861075733</v>
      </c>
      <c r="C157" s="1">
        <f t="shared" si="112"/>
        <v>656</v>
      </c>
      <c r="D157" s="12">
        <f t="shared" si="132"/>
        <v>28.900607975374268</v>
      </c>
      <c r="E157" s="38">
        <f t="shared" si="124"/>
        <v>305126176.2003179</v>
      </c>
      <c r="F157" s="38">
        <f t="shared" si="125"/>
        <v>196180274.92183954</v>
      </c>
      <c r="G157" s="38">
        <f t="shared" si="126"/>
        <v>87234373.64336121</v>
      </c>
      <c r="H157" s="18">
        <f t="shared" si="133"/>
        <v>0.01730067410436631</v>
      </c>
      <c r="I157" s="50">
        <f t="shared" si="123"/>
        <v>0.046924348618588047</v>
      </c>
      <c r="J157" s="3">
        <f t="shared" si="134"/>
        <v>82.68228630098632</v>
      </c>
      <c r="K157" s="12">
        <f t="shared" si="111"/>
        <v>0.9939739443825646</v>
      </c>
      <c r="L157" s="3">
        <f t="shared" si="135"/>
        <v>1570.5576970051295</v>
      </c>
      <c r="M157" s="12">
        <v>0.718</v>
      </c>
      <c r="N157" s="37">
        <f t="shared" si="136"/>
        <v>927.9573520357022</v>
      </c>
      <c r="O157" s="1">
        <f t="shared" si="127"/>
        <v>30922.420424222928</v>
      </c>
      <c r="P157">
        <f t="shared" si="137"/>
        <v>175.84771941717904</v>
      </c>
      <c r="Q157" s="1">
        <f t="shared" si="138"/>
        <v>163.1791840718826</v>
      </c>
      <c r="R157" s="1">
        <f>+Q157*1000/'Material Properties'!AE$35</f>
        <v>139940.25109290075</v>
      </c>
      <c r="S157" s="1">
        <f t="shared" si="139"/>
        <v>213.32355349527555</v>
      </c>
      <c r="T157" s="1">
        <f t="shared" si="140"/>
        <v>9.464268032544169</v>
      </c>
      <c r="U157">
        <f t="shared" si="128"/>
        <v>0.0008276416600829975</v>
      </c>
      <c r="V157">
        <f>+'Material Properties'!AE$31+'Material Properties'!AE$33</f>
        <v>0.00029034311030761144</v>
      </c>
      <c r="W157">
        <f t="shared" si="141"/>
        <v>0.001117984770390609</v>
      </c>
      <c r="X157" s="1">
        <f>+'Volcano Summary'!E$12*10^9/Q157/3600/24/365</f>
        <v>0</v>
      </c>
      <c r="Y157" s="3">
        <f t="shared" si="142"/>
        <v>8</v>
      </c>
      <c r="Z157" s="1">
        <f>+Y157*'Volcano Summary'!B$19*'Volcano Summary'!B$20/1000</f>
        <v>324000</v>
      </c>
      <c r="AA157" s="1">
        <f t="shared" si="129"/>
        <v>1985547.3713931167</v>
      </c>
      <c r="AB157" s="3">
        <f t="shared" si="32"/>
        <v>551.540936498088</v>
      </c>
      <c r="AC157" s="1">
        <f t="shared" si="143"/>
        <v>346651562.39694315</v>
      </c>
      <c r="AD157" s="36">
        <f t="shared" si="144"/>
        <v>96292.10066581759</v>
      </c>
      <c r="AE157" s="36">
        <f t="shared" si="28"/>
        <v>4012.170861075733</v>
      </c>
      <c r="AG157" s="1">
        <f t="shared" si="130"/>
        <v>324000000</v>
      </c>
      <c r="AH157" s="1">
        <f t="shared" si="145"/>
        <v>324000</v>
      </c>
      <c r="AI157" s="1">
        <f t="shared" si="146"/>
        <v>324324000</v>
      </c>
      <c r="AJ157" s="1">
        <f t="shared" si="147"/>
        <v>18932137438.240334</v>
      </c>
      <c r="AK157" s="1">
        <f t="shared" si="148"/>
        <v>18951069575.678574</v>
      </c>
      <c r="AL157" s="39">
        <f>+AJ157/('Volcano Summary'!C$8)*10^6</f>
        <v>1314.3234681349925</v>
      </c>
      <c r="AM157" s="1">
        <f t="shared" si="131"/>
        <v>4012.170861075733</v>
      </c>
    </row>
    <row r="158" spans="1:39" ht="12.75" hidden="1">
      <c r="A158" s="1">
        <f t="shared" si="113"/>
        <v>1985547.3713931167</v>
      </c>
      <c r="B158" s="1">
        <f t="shared" si="114"/>
        <v>4034.8089206035816</v>
      </c>
      <c r="C158" s="1">
        <f t="shared" si="112"/>
        <v>664</v>
      </c>
      <c r="D158" s="12">
        <f t="shared" si="132"/>
        <v>29.076297180076903</v>
      </c>
      <c r="E158" s="38">
        <f t="shared" si="124"/>
        <v>306981063.65722775</v>
      </c>
      <c r="F158" s="38">
        <f t="shared" si="125"/>
        <v>197372871.16440758</v>
      </c>
      <c r="G158" s="38">
        <f t="shared" si="126"/>
        <v>87764678.67158741</v>
      </c>
      <c r="H158" s="18">
        <f t="shared" si="133"/>
        <v>0.01719613735213163</v>
      </c>
      <c r="I158" s="50">
        <f t="shared" si="123"/>
        <v>0.046854353900512076</v>
      </c>
      <c r="J158" s="3">
        <f t="shared" si="134"/>
        <v>82.071390521859</v>
      </c>
      <c r="K158" s="12">
        <f t="shared" si="111"/>
        <v>0.9923856153568335</v>
      </c>
      <c r="L158" s="3">
        <f t="shared" si="135"/>
        <v>1568.048011121675</v>
      </c>
      <c r="M158" s="12">
        <v>0.718</v>
      </c>
      <c r="N158" s="37">
        <f t="shared" si="136"/>
        <v>939.2739051093087</v>
      </c>
      <c r="O158" s="1">
        <f t="shared" si="127"/>
        <v>31102.80993091954</v>
      </c>
      <c r="P158">
        <f t="shared" si="137"/>
        <v>176.35988753375733</v>
      </c>
      <c r="Q158" s="1">
        <f t="shared" si="138"/>
        <v>165.65024026847072</v>
      </c>
      <c r="R158" s="1">
        <f>+Q158*1000/'Material Properties'!AE$35</f>
        <v>142059.3953120732</v>
      </c>
      <c r="S158" s="1">
        <f t="shared" si="139"/>
        <v>213.94487245794159</v>
      </c>
      <c r="T158" s="1">
        <f t="shared" si="140"/>
        <v>11.939720695632786</v>
      </c>
      <c r="U158">
        <f t="shared" si="128"/>
        <v>0.0006680752800890464</v>
      </c>
      <c r="V158">
        <f>+'Material Properties'!AE$31+'Material Properties'!AE$33</f>
        <v>0.00029034311030761144</v>
      </c>
      <c r="W158">
        <f t="shared" si="141"/>
        <v>0.0009584183903966579</v>
      </c>
      <c r="X158" s="1">
        <f>+'Volcano Summary'!E$12*10^9/Q158/3600/24/365</f>
        <v>0</v>
      </c>
      <c r="Y158" s="3">
        <f t="shared" si="142"/>
        <v>8</v>
      </c>
      <c r="Z158" s="1">
        <f>+Y158*'Volcano Summary'!B$19*'Volcano Summary'!B$20/1000</f>
        <v>324000</v>
      </c>
      <c r="AA158" s="1">
        <f t="shared" si="129"/>
        <v>1955928.343206086</v>
      </c>
      <c r="AB158" s="3">
        <f t="shared" si="32"/>
        <v>543.3134286683572</v>
      </c>
      <c r="AC158" s="1">
        <f t="shared" si="143"/>
        <v>348607490.74014926</v>
      </c>
      <c r="AD158" s="36">
        <f t="shared" si="144"/>
        <v>96835.41409448595</v>
      </c>
      <c r="AE158" s="36">
        <f t="shared" si="28"/>
        <v>4034.8089206035816</v>
      </c>
      <c r="AG158" s="1">
        <f t="shared" si="130"/>
        <v>324000000</v>
      </c>
      <c r="AH158" s="1">
        <f t="shared" si="145"/>
        <v>324000</v>
      </c>
      <c r="AI158" s="1">
        <f t="shared" si="146"/>
        <v>324324000</v>
      </c>
      <c r="AJ158" s="1">
        <f t="shared" si="147"/>
        <v>19256137438.240334</v>
      </c>
      <c r="AK158" s="1">
        <f t="shared" si="148"/>
        <v>19275393575.678574</v>
      </c>
      <c r="AL158" s="39">
        <f>+AJ158/('Volcano Summary'!C$8)*10^6</f>
        <v>1336.8164806152208</v>
      </c>
      <c r="AM158" s="1">
        <f t="shared" si="131"/>
        <v>4034.8089206035816</v>
      </c>
    </row>
    <row r="159" spans="1:39" ht="12.75" hidden="1">
      <c r="A159" s="1">
        <f t="shared" si="113"/>
        <v>1955928.343206086</v>
      </c>
      <c r="B159" s="1">
        <f t="shared" si="114"/>
        <v>4057.113221543473</v>
      </c>
      <c r="C159" s="1">
        <f t="shared" si="112"/>
        <v>672</v>
      </c>
      <c r="D159" s="12">
        <f t="shared" si="132"/>
        <v>29.25093116572581</v>
      </c>
      <c r="E159" s="38">
        <f t="shared" si="124"/>
        <v>308824810.346608</v>
      </c>
      <c r="F159" s="38">
        <f t="shared" si="125"/>
        <v>198558304.47240207</v>
      </c>
      <c r="G159" s="38">
        <f t="shared" si="126"/>
        <v>88291798.5981961</v>
      </c>
      <c r="H159" s="18">
        <f t="shared" si="133"/>
        <v>0.017093472927995707</v>
      </c>
      <c r="I159" s="50">
        <f t="shared" si="123"/>
        <v>0.04678540223989028</v>
      </c>
      <c r="J159" s="3">
        <f t="shared" si="134"/>
        <v>81.47250066129541</v>
      </c>
      <c r="K159" s="12">
        <f t="shared" si="111"/>
        <v>0.9908285017193682</v>
      </c>
      <c r="L159" s="3">
        <f t="shared" si="135"/>
        <v>1565.587648028403</v>
      </c>
      <c r="M159" s="12">
        <v>0.718</v>
      </c>
      <c r="N159" s="37">
        <f t="shared" si="136"/>
        <v>950.590458182915</v>
      </c>
      <c r="O159" s="1">
        <f t="shared" si="127"/>
        <v>31282.28020971171</v>
      </c>
      <c r="P159">
        <f t="shared" si="137"/>
        <v>176.86797395150913</v>
      </c>
      <c r="Q159" s="1">
        <f t="shared" si="138"/>
        <v>168.12900839644894</v>
      </c>
      <c r="R159" s="1">
        <f>+Q159*1000/'Material Properties'!AE$35</f>
        <v>144185.15317882138</v>
      </c>
      <c r="S159" s="1">
        <f t="shared" si="139"/>
        <v>214.56123984943656</v>
      </c>
      <c r="T159" s="1">
        <f t="shared" si="140"/>
        <v>14.358784422070812</v>
      </c>
      <c r="U159">
        <f t="shared" si="128"/>
        <v>0.0005621614253618158</v>
      </c>
      <c r="V159">
        <f>+'Material Properties'!AE$31+'Material Properties'!AE$33</f>
        <v>0.00029034311030761144</v>
      </c>
      <c r="W159">
        <f t="shared" si="141"/>
        <v>0.0008525045356694272</v>
      </c>
      <c r="X159" s="1">
        <f>+'Volcano Summary'!E$12*10^9/Q159/3600/24/365</f>
        <v>0</v>
      </c>
      <c r="Y159" s="3">
        <f t="shared" si="142"/>
        <v>8</v>
      </c>
      <c r="Z159" s="1">
        <f>+Y159*'Volcano Summary'!B$19*'Volcano Summary'!B$20/1000</f>
        <v>324000</v>
      </c>
      <c r="AA159" s="1">
        <f t="shared" si="129"/>
        <v>1927091.6012066551</v>
      </c>
      <c r="AB159" s="3">
        <f t="shared" si="32"/>
        <v>535.3032225574042</v>
      </c>
      <c r="AC159" s="1">
        <f t="shared" si="143"/>
        <v>350534582.3413559</v>
      </c>
      <c r="AD159" s="36">
        <f t="shared" si="144"/>
        <v>97370.71731704335</v>
      </c>
      <c r="AE159" s="36">
        <f t="shared" si="28"/>
        <v>4057.113221543473</v>
      </c>
      <c r="AG159" s="1">
        <f t="shared" si="130"/>
        <v>323999999.99999994</v>
      </c>
      <c r="AH159" s="1">
        <f t="shared" si="145"/>
        <v>324000</v>
      </c>
      <c r="AI159" s="1">
        <f t="shared" si="146"/>
        <v>324323999.99999994</v>
      </c>
      <c r="AJ159" s="1">
        <f t="shared" si="147"/>
        <v>19580137438.240334</v>
      </c>
      <c r="AK159" s="1">
        <f t="shared" si="148"/>
        <v>19599717575.678574</v>
      </c>
      <c r="AL159" s="39">
        <f>+AJ159/('Volcano Summary'!C$8)*10^6</f>
        <v>1359.309493095449</v>
      </c>
      <c r="AM159" s="1">
        <f t="shared" si="131"/>
        <v>4057.113221543473</v>
      </c>
    </row>
    <row r="160" spans="1:39" ht="12.75" hidden="1">
      <c r="A160" s="1">
        <f t="shared" si="113"/>
        <v>1927091.6012066551</v>
      </c>
      <c r="B160" s="1">
        <f t="shared" si="114"/>
        <v>4079.09247704239</v>
      </c>
      <c r="C160" s="1">
        <f t="shared" si="112"/>
        <v>680</v>
      </c>
      <c r="D160" s="12">
        <f t="shared" si="132"/>
        <v>29.42452872043851</v>
      </c>
      <c r="E160" s="38">
        <f t="shared" si="124"/>
        <v>310657614.62921494</v>
      </c>
      <c r="F160" s="38">
        <f t="shared" si="125"/>
        <v>199736702.38148114</v>
      </c>
      <c r="G160" s="38">
        <f t="shared" si="126"/>
        <v>88815790.13374735</v>
      </c>
      <c r="H160" s="18">
        <f t="shared" si="133"/>
        <v>0.016992625599902847</v>
      </c>
      <c r="I160" s="50">
        <f t="shared" si="123"/>
        <v>0.04671746565742541</v>
      </c>
      <c r="J160" s="3">
        <f t="shared" si="134"/>
        <v>80.88524028929491</v>
      </c>
      <c r="K160" s="12">
        <f t="shared" si="111"/>
        <v>0.9893016247521669</v>
      </c>
      <c r="L160" s="3">
        <f t="shared" si="135"/>
        <v>1563.1750612732164</v>
      </c>
      <c r="M160" s="12">
        <v>0.718</v>
      </c>
      <c r="N160" s="37">
        <f t="shared" si="136"/>
        <v>961.9070112565208</v>
      </c>
      <c r="O160" s="1">
        <f t="shared" si="127"/>
        <v>31460.846215623813</v>
      </c>
      <c r="P160">
        <f t="shared" si="137"/>
        <v>177.37205590403414</v>
      </c>
      <c r="Q160" s="1">
        <f t="shared" si="138"/>
        <v>170.615424175074</v>
      </c>
      <c r="R160" s="1">
        <f>+Q160*1000/'Material Properties'!AE$35</f>
        <v>146317.46956685322</v>
      </c>
      <c r="S160" s="1">
        <f t="shared" si="139"/>
        <v>215.17274936301945</v>
      </c>
      <c r="T160" s="1">
        <f t="shared" si="140"/>
        <v>16.723433383555403</v>
      </c>
      <c r="U160">
        <f t="shared" si="128"/>
        <v>0.00048673262543745435</v>
      </c>
      <c r="V160">
        <f>+'Material Properties'!AE$31+'Material Properties'!AE$33</f>
        <v>0.00029034311030761144</v>
      </c>
      <c r="W160">
        <f t="shared" si="141"/>
        <v>0.0007770757357450658</v>
      </c>
      <c r="X160" s="1">
        <f>+'Volcano Summary'!E$12*10^9/Q160/3600/24/365</f>
        <v>0</v>
      </c>
      <c r="Y160" s="3">
        <f t="shared" si="142"/>
        <v>8</v>
      </c>
      <c r="Z160" s="1">
        <f>+Y160*'Volcano Summary'!B$19*'Volcano Summary'!B$20/1000</f>
        <v>324000</v>
      </c>
      <c r="AA160" s="1">
        <f t="shared" si="129"/>
        <v>1899007.6751064027</v>
      </c>
      <c r="AB160" s="3">
        <f t="shared" si="32"/>
        <v>527.5021319740008</v>
      </c>
      <c r="AC160" s="1">
        <f t="shared" si="143"/>
        <v>352433590.0164623</v>
      </c>
      <c r="AD160" s="36">
        <f t="shared" si="144"/>
        <v>97898.21944901736</v>
      </c>
      <c r="AE160" s="36">
        <f t="shared" si="28"/>
        <v>4079.09247704239</v>
      </c>
      <c r="AG160" s="1">
        <f t="shared" si="130"/>
        <v>324000000</v>
      </c>
      <c r="AH160" s="1">
        <f t="shared" si="145"/>
        <v>324000</v>
      </c>
      <c r="AI160" s="1">
        <f t="shared" si="146"/>
        <v>324324000</v>
      </c>
      <c r="AJ160" s="1">
        <f t="shared" si="147"/>
        <v>19904137438.240334</v>
      </c>
      <c r="AK160" s="1">
        <f t="shared" si="148"/>
        <v>19924041575.678574</v>
      </c>
      <c r="AL160" s="39">
        <f>+AJ160/('Volcano Summary'!C$8)*10^6</f>
        <v>1381.8025055756773</v>
      </c>
      <c r="AM160" s="1">
        <f t="shared" si="131"/>
        <v>4079.09247704239</v>
      </c>
    </row>
    <row r="161" spans="1:39" ht="12.75" hidden="1">
      <c r="A161" s="1">
        <f t="shared" si="113"/>
        <v>1899007.6751064027</v>
      </c>
      <c r="B161" s="1">
        <f t="shared" si="114"/>
        <v>4100.75507576787</v>
      </c>
      <c r="C161" s="1">
        <f t="shared" si="112"/>
        <v>688</v>
      </c>
      <c r="D161" s="12">
        <f t="shared" si="132"/>
        <v>29.597108081327676</v>
      </c>
      <c r="E161" s="38">
        <f t="shared" si="124"/>
        <v>312479669.0484187</v>
      </c>
      <c r="F161" s="38">
        <f t="shared" si="125"/>
        <v>200908188.68702605</v>
      </c>
      <c r="G161" s="38">
        <f t="shared" si="126"/>
        <v>89336708.32563335</v>
      </c>
      <c r="H161" s="18">
        <f t="shared" si="133"/>
        <v>0.016893542390225676</v>
      </c>
      <c r="I161" s="50">
        <f t="shared" si="123"/>
        <v>0.04665051724727978</v>
      </c>
      <c r="J161" s="3">
        <f t="shared" si="134"/>
        <v>80.3092490642875</v>
      </c>
      <c r="K161" s="12">
        <f t="shared" si="111"/>
        <v>0.9878040475671476</v>
      </c>
      <c r="L161" s="3">
        <f t="shared" si="135"/>
        <v>1560.8087704986103</v>
      </c>
      <c r="M161" s="12">
        <v>0.718</v>
      </c>
      <c r="N161" s="37">
        <f t="shared" si="136"/>
        <v>973.2235643301269</v>
      </c>
      <c r="O161" s="1">
        <f t="shared" si="127"/>
        <v>31638.522489281335</v>
      </c>
      <c r="P161">
        <f t="shared" si="137"/>
        <v>177.8722083105771</v>
      </c>
      <c r="Q161" s="1">
        <f t="shared" si="138"/>
        <v>173.10942456729066</v>
      </c>
      <c r="R161" s="1">
        <f>+Q161*1000/'Material Properties'!AE$35</f>
        <v>148456.2904164467</v>
      </c>
      <c r="S161" s="1">
        <f t="shared" si="139"/>
        <v>215.77949188437017</v>
      </c>
      <c r="T161" s="1">
        <f t="shared" si="140"/>
        <v>19.035549521780013</v>
      </c>
      <c r="U161">
        <f t="shared" si="128"/>
        <v>0.00043028159272100636</v>
      </c>
      <c r="V161">
        <f>+'Material Properties'!AE$31+'Material Properties'!AE$33</f>
        <v>0.00029034311030761144</v>
      </c>
      <c r="W161">
        <f t="shared" si="141"/>
        <v>0.0007206247030286177</v>
      </c>
      <c r="X161" s="1">
        <f>+'Volcano Summary'!E$12*10^9/Q161/3600/24/365</f>
        <v>0</v>
      </c>
      <c r="Y161" s="3">
        <f t="shared" si="142"/>
        <v>8</v>
      </c>
      <c r="Z161" s="1">
        <f>+Y161*'Volcano Summary'!B$19*'Volcano Summary'!B$20/1000</f>
        <v>324000</v>
      </c>
      <c r="AA161" s="1">
        <f t="shared" si="129"/>
        <v>1871648.5298814885</v>
      </c>
      <c r="AB161" s="3">
        <f t="shared" si="32"/>
        <v>519.9023694115245</v>
      </c>
      <c r="AC161" s="1">
        <f t="shared" si="143"/>
        <v>354305238.5463438</v>
      </c>
      <c r="AD161" s="36">
        <f t="shared" si="144"/>
        <v>98418.12181842889</v>
      </c>
      <c r="AE161" s="36">
        <f t="shared" si="28"/>
        <v>4100.75507576787</v>
      </c>
      <c r="AG161" s="1">
        <f t="shared" si="130"/>
        <v>324000000</v>
      </c>
      <c r="AH161" s="1">
        <f t="shared" si="145"/>
        <v>324000</v>
      </c>
      <c r="AI161" s="1">
        <f t="shared" si="146"/>
        <v>324324000</v>
      </c>
      <c r="AJ161" s="1">
        <f t="shared" si="147"/>
        <v>20228137438.240334</v>
      </c>
      <c r="AK161" s="1">
        <f t="shared" si="148"/>
        <v>20248365575.678574</v>
      </c>
      <c r="AL161" s="39">
        <f>+AJ161/('Volcano Summary'!C$8)*10^6</f>
        <v>1404.2955180559059</v>
      </c>
      <c r="AM161" s="1">
        <f t="shared" si="131"/>
        <v>4100.75507576787</v>
      </c>
    </row>
    <row r="162" spans="1:39" ht="12.75" hidden="1">
      <c r="A162" s="1">
        <f t="shared" si="113"/>
        <v>1871648.5298814885</v>
      </c>
      <c r="B162" s="1">
        <f t="shared" si="114"/>
        <v>4122.109097531431</v>
      </c>
      <c r="C162" s="1">
        <f t="shared" si="112"/>
        <v>696</v>
      </c>
      <c r="D162" s="12">
        <f t="shared" si="132"/>
        <v>29.768686956862464</v>
      </c>
      <c r="E162" s="38">
        <f t="shared" si="124"/>
        <v>314291160.5662889</v>
      </c>
      <c r="F162" s="38">
        <f t="shared" si="125"/>
        <v>202072883.59593162</v>
      </c>
      <c r="G162" s="38">
        <f t="shared" si="126"/>
        <v>89854606.62557441</v>
      </c>
      <c r="H162" s="18">
        <f t="shared" si="133"/>
        <v>0.016796172458817062</v>
      </c>
      <c r="I162" s="50">
        <f t="shared" si="123"/>
        <v>0.04658453112383386</v>
      </c>
      <c r="J162" s="3">
        <f t="shared" si="134"/>
        <v>79.74418186690444</v>
      </c>
      <c r="K162" s="12">
        <f t="shared" si="111"/>
        <v>0.9863348728539516</v>
      </c>
      <c r="L162" s="3">
        <f t="shared" si="135"/>
        <v>1558.4873578830227</v>
      </c>
      <c r="M162" s="12">
        <v>0.718</v>
      </c>
      <c r="N162" s="37">
        <f t="shared" si="136"/>
        <v>984.5401174037332</v>
      </c>
      <c r="O162" s="1">
        <f t="shared" si="127"/>
        <v>31815.323173039415</v>
      </c>
      <c r="P162">
        <f t="shared" si="137"/>
        <v>178.3685038706089</v>
      </c>
      <c r="Q162" s="1">
        <f t="shared" si="138"/>
        <v>175.61094774189752</v>
      </c>
      <c r="R162" s="1">
        <f>+Q162*1000/'Material Properties'!AE$35</f>
        <v>150601.56270200358</v>
      </c>
      <c r="S162" s="1">
        <f t="shared" si="139"/>
        <v>216.38155560632697</v>
      </c>
      <c r="T162" s="1">
        <f t="shared" si="140"/>
        <v>21.296927900980563</v>
      </c>
      <c r="U162">
        <f t="shared" si="128"/>
        <v>0.00038644536929910314</v>
      </c>
      <c r="V162">
        <f>+'Material Properties'!AE$31+'Material Properties'!AE$33</f>
        <v>0.00029034311030761144</v>
      </c>
      <c r="W162">
        <f t="shared" si="141"/>
        <v>0.0006767884796067146</v>
      </c>
      <c r="X162" s="1">
        <f>+'Volcano Summary'!E$12*10^9/Q162/3600/24/365</f>
        <v>0</v>
      </c>
      <c r="Y162" s="3">
        <f t="shared" si="142"/>
        <v>8</v>
      </c>
      <c r="Z162" s="1">
        <f>+Y162*'Volcano Summary'!B$19*'Volcano Summary'!B$20/1000</f>
        <v>324000</v>
      </c>
      <c r="AA162" s="1">
        <f t="shared" si="129"/>
        <v>1844987.4803716443</v>
      </c>
      <c r="AB162" s="3">
        <f t="shared" si="32"/>
        <v>512.4965223254567</v>
      </c>
      <c r="AC162" s="1">
        <f t="shared" si="143"/>
        <v>356150226.02671546</v>
      </c>
      <c r="AD162" s="36">
        <f t="shared" si="144"/>
        <v>98930.61834075434</v>
      </c>
      <c r="AE162" s="36">
        <f t="shared" si="28"/>
        <v>4122.109097531431</v>
      </c>
      <c r="AG162" s="1">
        <f t="shared" si="130"/>
        <v>324000000</v>
      </c>
      <c r="AH162" s="1">
        <f t="shared" si="145"/>
        <v>324000</v>
      </c>
      <c r="AI162" s="1">
        <f t="shared" si="146"/>
        <v>324324000</v>
      </c>
      <c r="AJ162" s="1">
        <f t="shared" si="147"/>
        <v>20552137438.240334</v>
      </c>
      <c r="AK162" s="1">
        <f t="shared" si="148"/>
        <v>20572689575.678574</v>
      </c>
      <c r="AL162" s="39">
        <f>+AJ162/('Volcano Summary'!C$8)*10^6</f>
        <v>1426.788530536134</v>
      </c>
      <c r="AM162" s="1">
        <f t="shared" si="131"/>
        <v>4122.109097531431</v>
      </c>
    </row>
    <row r="163" spans="1:39" ht="12.75" hidden="1">
      <c r="A163" s="1">
        <f t="shared" si="113"/>
        <v>1844987.4803716443</v>
      </c>
      <c r="B163" s="1">
        <f t="shared" si="114"/>
        <v>4143.162327992814</v>
      </c>
      <c r="C163" s="1">
        <f t="shared" si="112"/>
        <v>704</v>
      </c>
      <c r="D163" s="12">
        <f t="shared" si="132"/>
        <v>29.93928254807644</v>
      </c>
      <c r="E163" s="38">
        <f t="shared" si="124"/>
        <v>316092270.7875031</v>
      </c>
      <c r="F163" s="38">
        <f t="shared" si="125"/>
        <v>203230903.87056834</v>
      </c>
      <c r="G163" s="38">
        <f t="shared" si="126"/>
        <v>90369536.95363362</v>
      </c>
      <c r="H163" s="18">
        <f t="shared" si="133"/>
        <v>0.01670046699339241</v>
      </c>
      <c r="I163" s="50">
        <f t="shared" si="123"/>
        <v>0.046519482371668634</v>
      </c>
      <c r="J163" s="3">
        <f t="shared" si="134"/>
        <v>79.18970798977521</v>
      </c>
      <c r="K163" s="12">
        <f t="shared" si="111"/>
        <v>0.9848932407734157</v>
      </c>
      <c r="L163" s="3">
        <f t="shared" si="135"/>
        <v>1556.209464812353</v>
      </c>
      <c r="M163" s="12">
        <v>0.718</v>
      </c>
      <c r="N163" s="37">
        <f t="shared" si="136"/>
        <v>995.8566704773391</v>
      </c>
      <c r="O163" s="1">
        <f t="shared" si="127"/>
        <v>31991.262026306664</v>
      </c>
      <c r="P163">
        <f t="shared" si="137"/>
        <v>178.8610131535284</v>
      </c>
      <c r="Q163" s="1">
        <f t="shared" si="138"/>
        <v>178.11993303727635</v>
      </c>
      <c r="R163" s="1">
        <f>+Q163*1000/'Material Properties'!AE$35</f>
        <v>152753.2344009443</v>
      </c>
      <c r="S163" s="1">
        <f t="shared" si="139"/>
        <v>216.97902613770495</v>
      </c>
      <c r="T163" s="1">
        <f t="shared" si="140"/>
        <v>23.50928169105191</v>
      </c>
      <c r="U163">
        <f t="shared" si="128"/>
        <v>0.0003514195996658326</v>
      </c>
      <c r="V163">
        <f>+'Material Properties'!AE$31+'Material Properties'!AE$33</f>
        <v>0.00029034311030761144</v>
      </c>
      <c r="W163">
        <f t="shared" si="141"/>
        <v>0.0006417627099734441</v>
      </c>
      <c r="X163" s="1">
        <f>+'Volcano Summary'!E$12*10^9/Q163/3600/24/365</f>
        <v>0</v>
      </c>
      <c r="Y163" s="3">
        <f t="shared" si="142"/>
        <v>8</v>
      </c>
      <c r="Z163" s="1">
        <f>+Y163*'Volcano Summary'!B$19*'Volcano Summary'!B$20/1000</f>
        <v>324000</v>
      </c>
      <c r="AA163" s="1">
        <f t="shared" si="129"/>
        <v>1818999.111863546</v>
      </c>
      <c r="AB163" s="3">
        <f t="shared" si="32"/>
        <v>505.27753107320723</v>
      </c>
      <c r="AC163" s="1">
        <f t="shared" si="143"/>
        <v>357969225.138579</v>
      </c>
      <c r="AD163" s="36">
        <f t="shared" si="144"/>
        <v>99435.89587182755</v>
      </c>
      <c r="AE163" s="36">
        <f t="shared" si="28"/>
        <v>4143.162327992814</v>
      </c>
      <c r="AG163" s="1">
        <f t="shared" si="130"/>
        <v>324000000</v>
      </c>
      <c r="AH163" s="1">
        <f t="shared" si="145"/>
        <v>324000</v>
      </c>
      <c r="AI163" s="1">
        <f t="shared" si="146"/>
        <v>324324000</v>
      </c>
      <c r="AJ163" s="1">
        <f t="shared" si="147"/>
        <v>20876137438.240334</v>
      </c>
      <c r="AK163" s="1">
        <f t="shared" si="148"/>
        <v>20897013575.678574</v>
      </c>
      <c r="AL163" s="39">
        <f>+AJ163/('Volcano Summary'!C$8)*10^6</f>
        <v>1449.2815430163623</v>
      </c>
      <c r="AM163" s="1">
        <f t="shared" si="131"/>
        <v>4143.162327992814</v>
      </c>
    </row>
    <row r="164" spans="1:39" ht="12.75" hidden="1">
      <c r="A164" s="1">
        <f t="shared" si="113"/>
        <v>1818999.111863546</v>
      </c>
      <c r="B164" s="1">
        <f t="shared" si="114"/>
        <v>4163.922272508756</v>
      </c>
      <c r="C164" s="1">
        <f t="shared" si="112"/>
        <v>712</v>
      </c>
      <c r="D164" s="12">
        <f t="shared" si="132"/>
        <v>30.10891156869401</v>
      </c>
      <c r="E164" s="38">
        <f t="shared" si="124"/>
        <v>317883176.17183775</v>
      </c>
      <c r="F164" s="38">
        <f t="shared" si="125"/>
        <v>204382362.96540236</v>
      </c>
      <c r="G164" s="38">
        <f t="shared" si="126"/>
        <v>90881549.75896697</v>
      </c>
      <c r="H164" s="18">
        <f t="shared" si="133"/>
        <v>0.016606379106705378</v>
      </c>
      <c r="I164" s="50">
        <f t="shared" si="123"/>
        <v>0.046455346998541945</v>
      </c>
      <c r="J164" s="3">
        <f t="shared" si="134"/>
        <v>78.64551037913353</v>
      </c>
      <c r="K164" s="12">
        <f t="shared" si="111"/>
        <v>0.9834783269857472</v>
      </c>
      <c r="L164" s="3">
        <f t="shared" si="135"/>
        <v>1553.9737887643237</v>
      </c>
      <c r="M164" s="12">
        <v>0.718</v>
      </c>
      <c r="N164" s="37">
        <f t="shared" si="136"/>
        <v>1007.1732235509453</v>
      </c>
      <c r="O164" s="1">
        <f t="shared" si="127"/>
        <v>32166.35244011336</v>
      </c>
      <c r="P164">
        <f t="shared" si="137"/>
        <v>179.34980468378927</v>
      </c>
      <c r="Q164" s="1">
        <f t="shared" si="138"/>
        <v>180.63632092660447</v>
      </c>
      <c r="R164" s="1">
        <f>+Q164*1000/'Material Properties'!AE$35</f>
        <v>154911.25446387456</v>
      </c>
      <c r="S164" s="1">
        <f t="shared" si="139"/>
        <v>217.5719866065654</v>
      </c>
      <c r="T164" s="1">
        <f t="shared" si="140"/>
        <v>25.6742468106836</v>
      </c>
      <c r="U164">
        <f t="shared" si="128"/>
        <v>0.00032278995755211554</v>
      </c>
      <c r="V164">
        <f>+'Material Properties'!AE$31+'Material Properties'!AE$33</f>
        <v>0.00029034311030761144</v>
      </c>
      <c r="W164">
        <f t="shared" si="141"/>
        <v>0.000613133067859727</v>
      </c>
      <c r="X164" s="1">
        <f>+'Volcano Summary'!E$12*10^9/Q164/3600/24/365</f>
        <v>0</v>
      </c>
      <c r="Y164" s="3">
        <f t="shared" si="142"/>
        <v>8</v>
      </c>
      <c r="Z164" s="1">
        <f>+Y164*'Volcano Summary'!B$19*'Volcano Summary'!B$20/1000</f>
        <v>324000</v>
      </c>
      <c r="AA164" s="1">
        <f t="shared" si="129"/>
        <v>1793659.2061772924</v>
      </c>
      <c r="AB164" s="3">
        <f t="shared" si="32"/>
        <v>498.23866838258124</v>
      </c>
      <c r="AC164" s="1">
        <f t="shared" si="143"/>
        <v>359762884.3447563</v>
      </c>
      <c r="AD164" s="36">
        <f t="shared" si="144"/>
        <v>99934.13454021013</v>
      </c>
      <c r="AE164" s="36">
        <f t="shared" si="28"/>
        <v>4163.922272508756</v>
      </c>
      <c r="AG164" s="1">
        <f t="shared" si="130"/>
        <v>324000000</v>
      </c>
      <c r="AH164" s="1">
        <f t="shared" si="145"/>
        <v>324000</v>
      </c>
      <c r="AI164" s="1">
        <f t="shared" si="146"/>
        <v>324324000</v>
      </c>
      <c r="AJ164" s="1">
        <f t="shared" si="147"/>
        <v>21200137438.240334</v>
      </c>
      <c r="AK164" s="1">
        <f t="shared" si="148"/>
        <v>21221337575.678574</v>
      </c>
      <c r="AL164" s="39">
        <f>+AJ164/('Volcano Summary'!C$8)*10^6</f>
        <v>1471.7745554965907</v>
      </c>
      <c r="AM164" s="1">
        <f t="shared" si="131"/>
        <v>4163.922272508756</v>
      </c>
    </row>
    <row r="165" spans="1:39" ht="12.75" hidden="1">
      <c r="A165" s="1">
        <f aca="true" t="shared" si="149" ref="A165:A228">+AA164</f>
        <v>1793659.2061772924</v>
      </c>
      <c r="B165" s="1">
        <f t="shared" si="114"/>
        <v>4184.396169184894</v>
      </c>
      <c r="C165" s="1">
        <f t="shared" si="112"/>
        <v>720</v>
      </c>
      <c r="D165" s="12">
        <f t="shared" si="132"/>
        <v>30.277590264241923</v>
      </c>
      <c r="E165" s="38">
        <f t="shared" si="124"/>
        <v>319664048.2359427</v>
      </c>
      <c r="F165" s="38">
        <f t="shared" si="125"/>
        <v>205527371.1567264</v>
      </c>
      <c r="G165" s="38">
        <f t="shared" si="126"/>
        <v>91390694.07751001</v>
      </c>
      <c r="H165" s="18">
        <f t="shared" si="133"/>
        <v>0.016513863740025045</v>
      </c>
      <c r="I165" s="50">
        <f t="shared" si="123"/>
        <v>0.04639210189114801</v>
      </c>
      <c r="J165" s="3">
        <f t="shared" si="134"/>
        <v>78.11128492437763</v>
      </c>
      <c r="K165" s="12">
        <f t="shared" si="111"/>
        <v>0.982089340803382</v>
      </c>
      <c r="L165" s="3">
        <f t="shared" si="135"/>
        <v>1551.7790803898474</v>
      </c>
      <c r="M165" s="12">
        <v>0.718</v>
      </c>
      <c r="N165" s="37">
        <f t="shared" si="136"/>
        <v>1018.4897766245516</v>
      </c>
      <c r="O165" s="1">
        <f t="shared" si="127"/>
        <v>32340.607450968793</v>
      </c>
      <c r="P165">
        <f t="shared" si="137"/>
        <v>179.8349450217304</v>
      </c>
      <c r="Q165" s="1">
        <f t="shared" si="138"/>
        <v>183.1600529844707</v>
      </c>
      <c r="R165" s="1">
        <f>+Q165*1000/'Material Properties'!AE$35</f>
        <v>157075.57278595556</v>
      </c>
      <c r="S165" s="1">
        <f t="shared" si="139"/>
        <v>218.16051775827162</v>
      </c>
      <c r="T165" s="1">
        <f t="shared" si="140"/>
        <v>27.793386257303837</v>
      </c>
      <c r="U165">
        <f t="shared" si="128"/>
        <v>0.0002989504244315714</v>
      </c>
      <c r="V165">
        <f>+'Material Properties'!AE$31+'Material Properties'!AE$33</f>
        <v>0.00029034311030761144</v>
      </c>
      <c r="W165">
        <f t="shared" si="141"/>
        <v>0.0005892935347391829</v>
      </c>
      <c r="X165" s="1">
        <f>+'Volcano Summary'!E$12*10^9/Q165/3600/24/365</f>
        <v>0</v>
      </c>
      <c r="Y165" s="3">
        <f t="shared" si="142"/>
        <v>8</v>
      </c>
      <c r="Z165" s="1">
        <f>+Y165*'Volcano Summary'!B$19*'Volcano Summary'!B$20/1000</f>
        <v>324000</v>
      </c>
      <c r="AA165" s="1">
        <f t="shared" si="129"/>
        <v>1768944.6728183164</v>
      </c>
      <c r="AB165" s="3">
        <f t="shared" si="32"/>
        <v>491.3735202273101</v>
      </c>
      <c r="AC165" s="1">
        <f t="shared" si="143"/>
        <v>361531829.0175746</v>
      </c>
      <c r="AD165" s="36">
        <f t="shared" si="144"/>
        <v>100425.50806043744</v>
      </c>
      <c r="AE165" s="36">
        <f aca="true" t="shared" si="150" ref="AE165:AE228">+AD165/24</f>
        <v>4184.396169184894</v>
      </c>
      <c r="AG165" s="1">
        <f t="shared" si="130"/>
        <v>324000000</v>
      </c>
      <c r="AH165" s="1">
        <f t="shared" si="145"/>
        <v>324000</v>
      </c>
      <c r="AI165" s="1">
        <f t="shared" si="146"/>
        <v>324324000</v>
      </c>
      <c r="AJ165" s="1">
        <f t="shared" si="147"/>
        <v>21524137438.240334</v>
      </c>
      <c r="AK165" s="1">
        <f t="shared" si="148"/>
        <v>21545661575.678574</v>
      </c>
      <c r="AL165" s="39">
        <f>+AJ165/('Volcano Summary'!C$8)*10^6</f>
        <v>1494.2675679768188</v>
      </c>
      <c r="AM165" s="1">
        <f t="shared" si="131"/>
        <v>4184.396169184894</v>
      </c>
    </row>
    <row r="166" spans="1:39" ht="12.75" hidden="1">
      <c r="A166" s="1">
        <f t="shared" si="149"/>
        <v>1768944.6728183164</v>
      </c>
      <c r="B166" s="1">
        <f aca="true" t="shared" si="151" ref="B166:B229">+AE166</f>
        <v>4204.591001184849</v>
      </c>
      <c r="C166" s="1">
        <f t="shared" si="112"/>
        <v>728</v>
      </c>
      <c r="D166" s="12">
        <f t="shared" si="132"/>
        <v>30.445334430207833</v>
      </c>
      <c r="E166" s="38">
        <f t="shared" si="124"/>
        <v>321435053.74505526</v>
      </c>
      <c r="F166" s="38">
        <f t="shared" si="125"/>
        <v>206666035.66592172</v>
      </c>
      <c r="G166" s="38">
        <f t="shared" si="126"/>
        <v>91897017.58678816</v>
      </c>
      <c r="H166" s="18">
        <f t="shared" si="133"/>
        <v>0.01642287757246314</v>
      </c>
      <c r="I166" s="50">
        <f t="shared" si="123"/>
        <v>0.04632972477346623</v>
      </c>
      <c r="J166" s="3">
        <f t="shared" si="134"/>
        <v>77.58673979205484</v>
      </c>
      <c r="K166" s="12">
        <f t="shared" si="111"/>
        <v>0.9807255234593427</v>
      </c>
      <c r="L166" s="3">
        <f t="shared" si="135"/>
        <v>1549.6241407768975</v>
      </c>
      <c r="M166" s="12">
        <v>0.718</v>
      </c>
      <c r="N166" s="37">
        <f t="shared" si="136"/>
        <v>1029.8063296981575</v>
      </c>
      <c r="O166" s="1">
        <f t="shared" si="127"/>
        <v>32514.039754050413</v>
      </c>
      <c r="P166">
        <f t="shared" si="137"/>
        <v>180.3164988403735</v>
      </c>
      <c r="Q166" s="1">
        <f t="shared" si="138"/>
        <v>185.6910718548271</v>
      </c>
      <c r="R166" s="1">
        <f>+Q166*1000/'Material Properties'!AE$35</f>
        <v>159246.1401794199</v>
      </c>
      <c r="S166" s="1">
        <f t="shared" si="139"/>
        <v>218.7446980486537</v>
      </c>
      <c r="T166" s="1">
        <f t="shared" si="140"/>
        <v>29.86819414824049</v>
      </c>
      <c r="U166">
        <f t="shared" si="128"/>
        <v>0.00027879114252438294</v>
      </c>
      <c r="V166">
        <f>+'Material Properties'!AE$31+'Material Properties'!AE$33</f>
        <v>0.00029034311030761144</v>
      </c>
      <c r="W166">
        <f t="shared" si="141"/>
        <v>0.0005691342528319944</v>
      </c>
      <c r="X166" s="1">
        <f>+'Volcano Summary'!E$12*10^9/Q166/3600/24/365</f>
        <v>0</v>
      </c>
      <c r="Y166" s="3">
        <f t="shared" si="142"/>
        <v>8</v>
      </c>
      <c r="Z166" s="1">
        <f>+Y166*'Volcano Summary'!B$19*'Volcano Summary'!B$20/1000</f>
        <v>324000</v>
      </c>
      <c r="AA166" s="1">
        <f t="shared" si="129"/>
        <v>1744833.4847962023</v>
      </c>
      <c r="AB166" s="3">
        <f t="shared" si="32"/>
        <v>484.67596799894505</v>
      </c>
      <c r="AC166" s="1">
        <f t="shared" si="143"/>
        <v>363276662.50237083</v>
      </c>
      <c r="AD166" s="36">
        <f t="shared" si="144"/>
        <v>100910.18402843639</v>
      </c>
      <c r="AE166" s="36">
        <f t="shared" si="150"/>
        <v>4204.591001184849</v>
      </c>
      <c r="AG166" s="1">
        <f t="shared" si="130"/>
        <v>323999999.99999994</v>
      </c>
      <c r="AH166" s="1">
        <f t="shared" si="145"/>
        <v>324000</v>
      </c>
      <c r="AI166" s="1">
        <f t="shared" si="146"/>
        <v>324323999.99999994</v>
      </c>
      <c r="AJ166" s="1">
        <f t="shared" si="147"/>
        <v>21848137438.240334</v>
      </c>
      <c r="AK166" s="1">
        <f t="shared" si="148"/>
        <v>21869985575.678574</v>
      </c>
      <c r="AL166" s="39">
        <f>+AJ166/('Volcano Summary'!C$8)*10^6</f>
        <v>1516.7605804570474</v>
      </c>
      <c r="AM166" s="1">
        <f t="shared" si="131"/>
        <v>4204.591001184849</v>
      </c>
    </row>
    <row r="167" spans="1:39" ht="12.75" hidden="1">
      <c r="A167" s="1">
        <f t="shared" si="149"/>
        <v>1744833.4847962023</v>
      </c>
      <c r="B167" s="1">
        <f t="shared" si="151"/>
        <v>4224.513508346276</v>
      </c>
      <c r="C167" s="1">
        <f t="shared" si="112"/>
        <v>736</v>
      </c>
      <c r="D167" s="12">
        <f t="shared" si="132"/>
        <v>30.612159429303247</v>
      </c>
      <c r="E167" s="38">
        <f t="shared" si="124"/>
        <v>323196354.8952587</v>
      </c>
      <c r="F167" s="38">
        <f t="shared" si="125"/>
        <v>207798460.7766412</v>
      </c>
      <c r="G167" s="38">
        <f t="shared" si="126"/>
        <v>92400566.65802373</v>
      </c>
      <c r="H167" s="18">
        <f t="shared" si="133"/>
        <v>0.016333378935736855</v>
      </c>
      <c r="I167" s="50">
        <f t="shared" si="123"/>
        <v>0.04626819416752094</v>
      </c>
      <c r="J167" s="3">
        <f t="shared" si="134"/>
        <v>77.07159480103694</v>
      </c>
      <c r="K167" s="12">
        <f t="shared" si="111"/>
        <v>0.9793861464826962</v>
      </c>
      <c r="L167" s="3">
        <f t="shared" si="135"/>
        <v>1547.5078188836005</v>
      </c>
      <c r="M167" s="12">
        <v>0.718</v>
      </c>
      <c r="N167" s="37">
        <f t="shared" si="136"/>
        <v>1041.1228827717637</v>
      </c>
      <c r="O167" s="1">
        <f t="shared" si="127"/>
        <v>32686.66171576366</v>
      </c>
      <c r="P167">
        <f t="shared" si="137"/>
        <v>180.79452899842866</v>
      </c>
      <c r="Q167" s="1">
        <f t="shared" si="138"/>
        <v>188.22932122020725</v>
      </c>
      <c r="R167" s="1">
        <f>+Q167*1000/'Material Properties'!AE$35</f>
        <v>161422.9083471736</v>
      </c>
      <c r="S167" s="1">
        <f t="shared" si="139"/>
        <v>219.32460373257283</v>
      </c>
      <c r="T167" s="1">
        <f t="shared" si="140"/>
        <v>31.900099495348968</v>
      </c>
      <c r="U167">
        <f t="shared" si="128"/>
        <v>0.00026152054816834747</v>
      </c>
      <c r="V167">
        <f>+'Material Properties'!AE$31+'Material Properties'!AE$33</f>
        <v>0.00029034311030761144</v>
      </c>
      <c r="W167">
        <f t="shared" si="141"/>
        <v>0.000551863658475959</v>
      </c>
      <c r="X167" s="1">
        <f>+'Volcano Summary'!E$12*10^9/Q167/3600/24/365</f>
        <v>0</v>
      </c>
      <c r="Y167" s="3">
        <f t="shared" si="142"/>
        <v>8</v>
      </c>
      <c r="Z167" s="1">
        <f>+Y167*'Volcano Summary'!B$19*'Volcano Summary'!B$20/1000</f>
        <v>324000</v>
      </c>
      <c r="AA167" s="1">
        <f t="shared" si="129"/>
        <v>1721304.6187472367</v>
      </c>
      <c r="AB167" s="3">
        <f t="shared" si="32"/>
        <v>478.1401718742324</v>
      </c>
      <c r="AC167" s="1">
        <f t="shared" si="143"/>
        <v>364997967.12111807</v>
      </c>
      <c r="AD167" s="36">
        <f t="shared" si="144"/>
        <v>101388.32420031061</v>
      </c>
      <c r="AE167" s="36">
        <f t="shared" si="150"/>
        <v>4224.513508346276</v>
      </c>
      <c r="AG167" s="1">
        <f t="shared" si="130"/>
        <v>324000000</v>
      </c>
      <c r="AH167" s="1">
        <f t="shared" si="145"/>
        <v>324000</v>
      </c>
      <c r="AI167" s="1">
        <f t="shared" si="146"/>
        <v>324324000</v>
      </c>
      <c r="AJ167" s="1">
        <f t="shared" si="147"/>
        <v>22172137438.240334</v>
      </c>
      <c r="AK167" s="1">
        <f t="shared" si="148"/>
        <v>22194309575.678574</v>
      </c>
      <c r="AL167" s="39">
        <f>+AJ167/('Volcano Summary'!C$8)*10^6</f>
        <v>1539.2535929372757</v>
      </c>
      <c r="AM167" s="1">
        <f t="shared" si="131"/>
        <v>4224.513508346276</v>
      </c>
    </row>
    <row r="168" spans="1:39" ht="12.75" hidden="1">
      <c r="A168" s="1">
        <f t="shared" si="149"/>
        <v>1721304.6187472367</v>
      </c>
      <c r="B168" s="1">
        <f t="shared" si="151"/>
        <v>4244.170198149856</v>
      </c>
      <c r="C168" s="1">
        <f t="shared" si="112"/>
        <v>744</v>
      </c>
      <c r="D168" s="12">
        <f t="shared" si="132"/>
        <v>30.77808020788433</v>
      </c>
      <c r="E168" s="38">
        <f t="shared" si="124"/>
        <v>324948109.4868494</v>
      </c>
      <c r="F168" s="38">
        <f t="shared" si="125"/>
        <v>208924747.94627506</v>
      </c>
      <c r="G168" s="38">
        <f t="shared" si="126"/>
        <v>92901386.40570076</v>
      </c>
      <c r="H168" s="18">
        <f t="shared" si="133"/>
        <v>0.01624532773398636</v>
      </c>
      <c r="I168" s="50">
        <f t="shared" si="123"/>
        <v>0.0462074893563878</v>
      </c>
      <c r="J168" s="3">
        <f t="shared" si="134"/>
        <v>76.56558083592063</v>
      </c>
      <c r="K168" s="12">
        <f t="shared" si="111"/>
        <v>0.9780705101733937</v>
      </c>
      <c r="L168" s="3">
        <f t="shared" si="135"/>
        <v>1545.429009128363</v>
      </c>
      <c r="M168" s="12">
        <v>0.718</v>
      </c>
      <c r="N168" s="37">
        <f t="shared" si="136"/>
        <v>1052.4394358453699</v>
      </c>
      <c r="O168" s="1">
        <f t="shared" si="127"/>
        <v>32858.48538570899</v>
      </c>
      <c r="P168">
        <f t="shared" si="137"/>
        <v>181.26909660973377</v>
      </c>
      <c r="Q168" s="1">
        <f t="shared" si="138"/>
        <v>190.77474577214804</v>
      </c>
      <c r="R168" s="1">
        <f>+Q168*1000/'Material Properties'!AE$35</f>
        <v>163605.82985743016</v>
      </c>
      <c r="S168" s="1">
        <f t="shared" si="139"/>
        <v>219.90030894815882</v>
      </c>
      <c r="T168" s="1">
        <f t="shared" si="140"/>
        <v>33.890469733422606</v>
      </c>
      <c r="U168">
        <f t="shared" si="128"/>
        <v>0.00024655890149592773</v>
      </c>
      <c r="V168">
        <f>+'Material Properties'!AE$31+'Material Properties'!AE$33</f>
        <v>0.00029034311030761144</v>
      </c>
      <c r="W168">
        <f t="shared" si="141"/>
        <v>0.0005369020118035392</v>
      </c>
      <c r="X168" s="1">
        <f>+'Volcano Summary'!E$12*10^9/Q168/3600/24/365</f>
        <v>0</v>
      </c>
      <c r="Y168" s="3">
        <f t="shared" si="142"/>
        <v>8</v>
      </c>
      <c r="Z168" s="1">
        <f>+Y168*'Volcano Summary'!B$19*'Volcano Summary'!B$20/1000</f>
        <v>324000</v>
      </c>
      <c r="AA168" s="1">
        <f t="shared" si="129"/>
        <v>1698337.999029335</v>
      </c>
      <c r="AB168" s="3">
        <f t="shared" si="32"/>
        <v>471.76055528592644</v>
      </c>
      <c r="AC168" s="1">
        <f t="shared" si="143"/>
        <v>366696305.1201474</v>
      </c>
      <c r="AD168" s="36">
        <f t="shared" si="144"/>
        <v>101860.08475559654</v>
      </c>
      <c r="AE168" s="36">
        <f t="shared" si="150"/>
        <v>4244.170198149856</v>
      </c>
      <c r="AG168" s="1">
        <f t="shared" si="130"/>
        <v>324000000</v>
      </c>
      <c r="AH168" s="1">
        <f t="shared" si="145"/>
        <v>324000</v>
      </c>
      <c r="AI168" s="1">
        <f t="shared" si="146"/>
        <v>324324000</v>
      </c>
      <c r="AJ168" s="1">
        <f t="shared" si="147"/>
        <v>22496137438.240334</v>
      </c>
      <c r="AK168" s="1">
        <f t="shared" si="148"/>
        <v>22518633575.678574</v>
      </c>
      <c r="AL168" s="39">
        <f>+AJ168/('Volcano Summary'!C$8)*10^6</f>
        <v>1561.7466054175038</v>
      </c>
      <c r="AM168" s="1">
        <f t="shared" si="131"/>
        <v>4244.170198149856</v>
      </c>
    </row>
    <row r="169" spans="1:39" ht="12.75" hidden="1">
      <c r="A169" s="1">
        <f t="shared" si="149"/>
        <v>1698337.999029335</v>
      </c>
      <c r="B169" s="1">
        <f t="shared" si="151"/>
        <v>4263.56735608373</v>
      </c>
      <c r="C169" s="1">
        <f t="shared" si="112"/>
        <v>752</v>
      </c>
      <c r="D169" s="12">
        <f t="shared" si="132"/>
        <v>30.943111311580196</v>
      </c>
      <c r="E169" s="38">
        <f t="shared" si="124"/>
        <v>326690471.089337</v>
      </c>
      <c r="F169" s="38">
        <f t="shared" si="125"/>
        <v>210044995.9120375</v>
      </c>
      <c r="G169" s="38">
        <f t="shared" si="126"/>
        <v>93399520.73473802</v>
      </c>
      <c r="H169" s="18">
        <f t="shared" si="133"/>
        <v>0.016158685368296472</v>
      </c>
      <c r="I169" s="50">
        <f t="shared" si="123"/>
        <v>0.046147590349295414</v>
      </c>
      <c r="J169" s="3">
        <f t="shared" si="134"/>
        <v>76.06843929592993</v>
      </c>
      <c r="K169" s="12">
        <f t="shared" si="111"/>
        <v>0.9767779421694179</v>
      </c>
      <c r="L169" s="3">
        <f t="shared" si="135"/>
        <v>1543.3866491258505</v>
      </c>
      <c r="M169" s="12">
        <v>0.718</v>
      </c>
      <c r="N169" s="37">
        <f t="shared" si="136"/>
        <v>1063.7559889189758</v>
      </c>
      <c r="O169" s="1">
        <f t="shared" si="127"/>
        <v>33029.52250809027</v>
      </c>
      <c r="P169">
        <f t="shared" si="137"/>
        <v>181.74026110933775</v>
      </c>
      <c r="Q169" s="1">
        <f t="shared" si="138"/>
        <v>193.32729118275645</v>
      </c>
      <c r="R169" s="1">
        <f>+Q169*1000/'Material Properties'!AE$35</f>
        <v>165794.85811932673</v>
      </c>
      <c r="S169" s="1">
        <f t="shared" si="139"/>
        <v>220.47188579697703</v>
      </c>
      <c r="T169" s="1">
        <f t="shared" si="140"/>
        <v>35.840614020948806</v>
      </c>
      <c r="U169">
        <f t="shared" si="128"/>
        <v>0.000233471873799089</v>
      </c>
      <c r="V169">
        <f>+'Material Properties'!AE$31+'Material Properties'!AE$33</f>
        <v>0.00029034311030761144</v>
      </c>
      <c r="W169">
        <f t="shared" si="141"/>
        <v>0.0005238149841067005</v>
      </c>
      <c r="X169" s="1">
        <f>+'Volcano Summary'!E$12*10^9/Q169/3600/24/365</f>
        <v>0</v>
      </c>
      <c r="Y169" s="3">
        <f t="shared" si="142"/>
        <v>8</v>
      </c>
      <c r="Z169" s="1">
        <f>+Y169*'Volcano Summary'!B$19*'Volcano Summary'!B$20/1000</f>
        <v>324000</v>
      </c>
      <c r="AA169" s="1">
        <f t="shared" si="129"/>
        <v>1675914.4454867255</v>
      </c>
      <c r="AB169" s="3">
        <f t="shared" si="32"/>
        <v>465.5317904129793</v>
      </c>
      <c r="AC169" s="1">
        <f t="shared" si="143"/>
        <v>368372219.56563413</v>
      </c>
      <c r="AD169" s="36">
        <f t="shared" si="144"/>
        <v>102325.61654600952</v>
      </c>
      <c r="AE169" s="36">
        <f t="shared" si="150"/>
        <v>4263.56735608373</v>
      </c>
      <c r="AG169" s="1">
        <f t="shared" si="130"/>
        <v>324000000</v>
      </c>
      <c r="AH169" s="1">
        <f t="shared" si="145"/>
        <v>324000</v>
      </c>
      <c r="AI169" s="1">
        <f t="shared" si="146"/>
        <v>324324000</v>
      </c>
      <c r="AJ169" s="1">
        <f t="shared" si="147"/>
        <v>22820137438.240334</v>
      </c>
      <c r="AK169" s="1">
        <f t="shared" si="148"/>
        <v>22842957575.678574</v>
      </c>
      <c r="AL169" s="39">
        <f>+AJ169/('Volcano Summary'!C$8)*10^6</f>
        <v>1584.2396178977322</v>
      </c>
      <c r="AM169" s="1">
        <f t="shared" si="131"/>
        <v>4263.56735608373</v>
      </c>
    </row>
    <row r="170" spans="1:39" ht="12.75" hidden="1">
      <c r="A170" s="1">
        <f t="shared" si="149"/>
        <v>1675914.4454867255</v>
      </c>
      <c r="B170" s="1">
        <f t="shared" si="151"/>
        <v>4282.711055442615</v>
      </c>
      <c r="C170" s="1">
        <f t="shared" si="112"/>
        <v>760</v>
      </c>
      <c r="D170" s="12">
        <f t="shared" si="132"/>
        <v>31.10726690017501</v>
      </c>
      <c r="E170" s="38">
        <f t="shared" si="124"/>
        <v>328423589.198566</v>
      </c>
      <c r="F170" s="38">
        <f t="shared" si="125"/>
        <v>211159300.79198766</v>
      </c>
      <c r="G170" s="38">
        <f t="shared" si="126"/>
        <v>93895012.38540941</v>
      </c>
      <c r="H170" s="18">
        <f t="shared" si="133"/>
        <v>0.01607341466559979</v>
      </c>
      <c r="I170" s="50">
        <f t="shared" si="123"/>
        <v>0.04608847784868247</v>
      </c>
      <c r="J170" s="3">
        <f t="shared" si="134"/>
        <v>75.57992157681839</v>
      </c>
      <c r="K170" s="12">
        <f t="shared" si="111"/>
        <v>0.9755077960997279</v>
      </c>
      <c r="L170" s="3">
        <f t="shared" si="135"/>
        <v>1541.3797175585328</v>
      </c>
      <c r="M170" s="12">
        <v>0.718</v>
      </c>
      <c r="N170" s="37">
        <f t="shared" si="136"/>
        <v>1075.0725419925823</v>
      </c>
      <c r="O170" s="1">
        <f t="shared" si="127"/>
        <v>33199.78453259606</v>
      </c>
      <c r="P170">
        <f t="shared" si="137"/>
        <v>182.208080316423</v>
      </c>
      <c r="Q170" s="1">
        <f t="shared" si="138"/>
        <v>195.88690407736547</v>
      </c>
      <c r="R170" s="1">
        <f>+Q170*1000/'Material Properties'!AE$35</f>
        <v>167989.94735947406</v>
      </c>
      <c r="S170" s="1">
        <f t="shared" si="139"/>
        <v>221.0394044203606</v>
      </c>
      <c r="T170" s="1">
        <f t="shared" si="140"/>
        <v>37.751786330187315</v>
      </c>
      <c r="U170">
        <f t="shared" si="128"/>
        <v>0.0002219276471913175</v>
      </c>
      <c r="V170">
        <f>+'Material Properties'!AE$31+'Material Properties'!AE$33</f>
        <v>0.00029034311030761144</v>
      </c>
      <c r="W170">
        <f t="shared" si="141"/>
        <v>0.0005122707574989289</v>
      </c>
      <c r="X170" s="1">
        <f>+'Volcano Summary'!E$12*10^9/Q170/3600/24/365</f>
        <v>0</v>
      </c>
      <c r="Y170" s="3">
        <f t="shared" si="142"/>
        <v>8</v>
      </c>
      <c r="Z170" s="1">
        <f>+Y170*'Volcano Summary'!B$19*'Volcano Summary'!B$20/1000</f>
        <v>324000</v>
      </c>
      <c r="AA170" s="1">
        <f t="shared" si="129"/>
        <v>1654015.6246077395</v>
      </c>
      <c r="AB170" s="3">
        <f t="shared" si="32"/>
        <v>459.44878461326095</v>
      </c>
      <c r="AC170" s="1">
        <f t="shared" si="143"/>
        <v>370026235.1902419</v>
      </c>
      <c r="AD170" s="36">
        <f t="shared" si="144"/>
        <v>102785.06533062278</v>
      </c>
      <c r="AE170" s="36">
        <f t="shared" si="150"/>
        <v>4282.711055442615</v>
      </c>
      <c r="AG170" s="1">
        <f t="shared" si="130"/>
        <v>324000000</v>
      </c>
      <c r="AH170" s="1">
        <f t="shared" si="145"/>
        <v>324000</v>
      </c>
      <c r="AI170" s="1">
        <f t="shared" si="146"/>
        <v>324324000</v>
      </c>
      <c r="AJ170" s="1">
        <f t="shared" si="147"/>
        <v>23144137438.240334</v>
      </c>
      <c r="AK170" s="1">
        <f t="shared" si="148"/>
        <v>23167281575.678574</v>
      </c>
      <c r="AL170" s="39">
        <f>+AJ170/('Volcano Summary'!C$8)*10^6</f>
        <v>1606.7326303779605</v>
      </c>
      <c r="AM170" s="1">
        <f t="shared" si="131"/>
        <v>4282.711055442615</v>
      </c>
    </row>
    <row r="171" spans="1:39" ht="12.75" hidden="1">
      <c r="A171" s="1">
        <f t="shared" si="149"/>
        <v>1654015.6246077395</v>
      </c>
      <c r="B171" s="1">
        <f t="shared" si="151"/>
        <v>4301.60716659797</v>
      </c>
      <c r="C171" s="1">
        <f t="shared" si="112"/>
        <v>768</v>
      </c>
      <c r="D171" s="12">
        <f t="shared" si="132"/>
        <v>31.270560761786875</v>
      </c>
      <c r="E171" s="38">
        <f t="shared" si="124"/>
        <v>330147609.38641346</v>
      </c>
      <c r="F171" s="38">
        <f t="shared" si="125"/>
        <v>212267756.1812778</v>
      </c>
      <c r="G171" s="38">
        <f t="shared" si="126"/>
        <v>94387902.97614214</v>
      </c>
      <c r="H171" s="18">
        <f t="shared" si="133"/>
        <v>0.015989479811663883</v>
      </c>
      <c r="I171" s="50">
        <f t="shared" si="123"/>
        <v>0.046030133219081296</v>
      </c>
      <c r="J171" s="3">
        <f t="shared" si="134"/>
        <v>75.09978858346994</v>
      </c>
      <c r="K171" s="12">
        <f t="shared" si="111"/>
        <v>0.974259450317022</v>
      </c>
      <c r="L171" s="3">
        <f t="shared" si="135"/>
        <v>1539.4072321743504</v>
      </c>
      <c r="M171" s="12">
        <v>0.718</v>
      </c>
      <c r="N171" s="37">
        <f t="shared" si="136"/>
        <v>1086.389095066188</v>
      </c>
      <c r="O171" s="1">
        <f t="shared" si="127"/>
        <v>33369.28262478356</v>
      </c>
      <c r="P171">
        <f t="shared" si="137"/>
        <v>182.67261049424886</v>
      </c>
      <c r="Q171" s="1">
        <f t="shared" si="138"/>
        <v>198.45353200822524</v>
      </c>
      <c r="R171" s="1">
        <f>+Q171*1000/'Material Properties'!AE$35</f>
        <v>170191.05259939455</v>
      </c>
      <c r="S171" s="1">
        <f t="shared" si="139"/>
        <v>221.6029330721283</v>
      </c>
      <c r="T171" s="1">
        <f t="shared" si="140"/>
        <v>39.6251883421196</v>
      </c>
      <c r="U171">
        <f t="shared" si="128"/>
        <v>0.00021166835617355078</v>
      </c>
      <c r="V171">
        <f>+'Material Properties'!AE$31+'Material Properties'!AE$33</f>
        <v>0.00029034311030761144</v>
      </c>
      <c r="W171">
        <f t="shared" si="141"/>
        <v>0.0005020114664811622</v>
      </c>
      <c r="X171" s="1">
        <f>+'Volcano Summary'!E$12*10^9/Q171/3600/24/365</f>
        <v>0</v>
      </c>
      <c r="Y171" s="3">
        <f t="shared" si="142"/>
        <v>8</v>
      </c>
      <c r="Z171" s="1">
        <f>+Y171*'Volcano Summary'!B$19*'Volcano Summary'!B$20/1000</f>
        <v>324000</v>
      </c>
      <c r="AA171" s="1">
        <f t="shared" si="129"/>
        <v>1632624.0038225737</v>
      </c>
      <c r="AB171" s="3">
        <f t="shared" si="32"/>
        <v>453.5066677284927</v>
      </c>
      <c r="AC171" s="1">
        <f t="shared" si="143"/>
        <v>371658859.19406444</v>
      </c>
      <c r="AD171" s="36">
        <f t="shared" si="144"/>
        <v>103238.57199835127</v>
      </c>
      <c r="AE171" s="36">
        <f t="shared" si="150"/>
        <v>4301.60716659797</v>
      </c>
      <c r="AG171" s="1">
        <f t="shared" si="130"/>
        <v>324000000</v>
      </c>
      <c r="AH171" s="1">
        <f t="shared" si="145"/>
        <v>324000</v>
      </c>
      <c r="AI171" s="1">
        <f t="shared" si="146"/>
        <v>324324000</v>
      </c>
      <c r="AJ171" s="1">
        <f t="shared" si="147"/>
        <v>23468137438.240334</v>
      </c>
      <c r="AK171" s="1">
        <f t="shared" si="148"/>
        <v>23491605575.678574</v>
      </c>
      <c r="AL171" s="39">
        <f>+AJ171/('Volcano Summary'!C$8)*10^6</f>
        <v>1629.2256428581888</v>
      </c>
      <c r="AM171" s="1">
        <f t="shared" si="131"/>
        <v>4301.60716659797</v>
      </c>
    </row>
    <row r="172" spans="1:39" ht="12.75" hidden="1">
      <c r="A172" s="1">
        <f t="shared" si="149"/>
        <v>1632624.0038225737</v>
      </c>
      <c r="B172" s="1">
        <f t="shared" si="151"/>
        <v>4320.261365772844</v>
      </c>
      <c r="C172" s="1">
        <f t="shared" si="112"/>
        <v>776</v>
      </c>
      <c r="D172" s="12">
        <f t="shared" si="132"/>
        <v>31.433006326383836</v>
      </c>
      <c r="E172" s="38">
        <f t="shared" si="124"/>
        <v>331862673.44348824</v>
      </c>
      <c r="F172" s="38">
        <f t="shared" si="125"/>
        <v>213370453.24390084</v>
      </c>
      <c r="G172" s="38">
        <f t="shared" si="126"/>
        <v>94878233.04431346</v>
      </c>
      <c r="H172" s="18">
        <f t="shared" si="133"/>
        <v>0.01590684628788804</v>
      </c>
      <c r="I172" s="50">
        <f t="shared" si="123"/>
        <v>0.04597253845770868</v>
      </c>
      <c r="J172" s="3">
        <f t="shared" si="134"/>
        <v>74.62781027107934</v>
      </c>
      <c r="K172" s="12">
        <f aca="true" t="shared" si="152" ref="K172:K192">0.883-(40-J172)/20*(0.883-0.831)</f>
        <v>0.9730323067048063</v>
      </c>
      <c r="L172" s="3">
        <f t="shared" si="135"/>
        <v>1537.4682479017868</v>
      </c>
      <c r="M172" s="12">
        <v>0.718</v>
      </c>
      <c r="N172" s="37">
        <f t="shared" si="136"/>
        <v>1097.7056481397942</v>
      </c>
      <c r="O172" s="1">
        <f t="shared" si="127"/>
        <v>33538.02767599276</v>
      </c>
      <c r="P172">
        <f t="shared" si="137"/>
        <v>183.13390640728647</v>
      </c>
      <c r="Q172" s="1">
        <f t="shared" si="138"/>
        <v>201.0271234291828</v>
      </c>
      <c r="R172" s="1">
        <f>+Q172*1000/'Material Properties'!AE$35</f>
        <v>172398.12963380772</v>
      </c>
      <c r="S172" s="1">
        <f t="shared" si="139"/>
        <v>222.16253818789656</v>
      </c>
      <c r="T172" s="1">
        <f t="shared" si="140"/>
        <v>41.46197216051405</v>
      </c>
      <c r="U172">
        <f t="shared" si="128"/>
        <v>0.00020249057261775768</v>
      </c>
      <c r="V172">
        <f>+'Material Properties'!AE$31+'Material Properties'!AE$33</f>
        <v>0.00029034311030761144</v>
      </c>
      <c r="W172">
        <f t="shared" si="141"/>
        <v>0.0004928336829253691</v>
      </c>
      <c r="X172" s="1">
        <f>+'Volcano Summary'!E$12*10^9/Q172/3600/24/365</f>
        <v>0</v>
      </c>
      <c r="Y172" s="3">
        <f t="shared" si="142"/>
        <v>8</v>
      </c>
      <c r="Z172" s="1">
        <f>+Y172*'Volcano Summary'!B$19*'Volcano Summary'!B$20/1000</f>
        <v>324000</v>
      </c>
      <c r="AA172" s="1">
        <f t="shared" si="129"/>
        <v>1611722.8087091327</v>
      </c>
      <c r="AB172" s="3">
        <f t="shared" si="32"/>
        <v>447.7007801969813</v>
      </c>
      <c r="AC172" s="1">
        <f t="shared" si="143"/>
        <v>373270582.0027736</v>
      </c>
      <c r="AD172" s="36">
        <f t="shared" si="144"/>
        <v>103686.27277854826</v>
      </c>
      <c r="AE172" s="36">
        <f t="shared" si="150"/>
        <v>4320.261365772844</v>
      </c>
      <c r="AG172" s="1">
        <f t="shared" si="130"/>
        <v>324000000</v>
      </c>
      <c r="AH172" s="1">
        <f t="shared" si="145"/>
        <v>324000</v>
      </c>
      <c r="AI172" s="1">
        <f t="shared" si="146"/>
        <v>324324000</v>
      </c>
      <c r="AJ172" s="1">
        <f t="shared" si="147"/>
        <v>23792137438.240334</v>
      </c>
      <c r="AK172" s="1">
        <f t="shared" si="148"/>
        <v>23815929575.678574</v>
      </c>
      <c r="AL172" s="39">
        <f>+AJ172/('Volcano Summary'!C$8)*10^6</f>
        <v>1651.7186553384172</v>
      </c>
      <c r="AM172" s="1">
        <f t="shared" si="131"/>
        <v>4320.261365772844</v>
      </c>
    </row>
    <row r="173" spans="1:39" ht="12.75" hidden="1">
      <c r="A173" s="1">
        <f t="shared" si="149"/>
        <v>1611722.8087091327</v>
      </c>
      <c r="B173" s="1">
        <f t="shared" si="151"/>
        <v>4338.6791433526405</v>
      </c>
      <c r="C173" s="1">
        <f t="shared" si="112"/>
        <v>784</v>
      </c>
      <c r="D173" s="12">
        <f t="shared" si="132"/>
        <v>31.594616678674353</v>
      </c>
      <c r="E173" s="38">
        <f t="shared" si="124"/>
        <v>333568919.5152252</v>
      </c>
      <c r="F173" s="38">
        <f t="shared" si="125"/>
        <v>214467480.80019253</v>
      </c>
      <c r="G173" s="38">
        <f t="shared" si="126"/>
        <v>95366042.08515991</v>
      </c>
      <c r="H173" s="18">
        <f t="shared" si="133"/>
        <v>0.015825480811656394</v>
      </c>
      <c r="I173" s="50">
        <f t="shared" si="123"/>
        <v>0.045915676166653485</v>
      </c>
      <c r="J173" s="3">
        <f t="shared" si="134"/>
        <v>74.16376521296034</v>
      </c>
      <c r="K173" s="12">
        <f t="shared" si="152"/>
        <v>0.971825789553697</v>
      </c>
      <c r="L173" s="3">
        <f t="shared" si="135"/>
        <v>1535.5618550743363</v>
      </c>
      <c r="M173" s="12">
        <v>0.718</v>
      </c>
      <c r="N173" s="37">
        <f t="shared" si="136"/>
        <v>1109.0222012134004</v>
      </c>
      <c r="O173" s="1">
        <f t="shared" si="127"/>
        <v>33706.03031281665</v>
      </c>
      <c r="P173">
        <f t="shared" si="137"/>
        <v>183.59202137570315</v>
      </c>
      <c r="Q173" s="1">
        <f t="shared" si="138"/>
        <v>203.60762767129998</v>
      </c>
      <c r="R173" s="1">
        <f>+Q173*1000/'Material Properties'!AE$35</f>
        <v>174611.13500972072</v>
      </c>
      <c r="S173" s="1">
        <f t="shared" si="139"/>
        <v>222.71828445117438</v>
      </c>
      <c r="T173" s="1">
        <f t="shared" si="140"/>
        <v>43.26324285817964</v>
      </c>
      <c r="U173">
        <f t="shared" si="128"/>
        <v>0.0001942316606492418</v>
      </c>
      <c r="V173">
        <f>+'Material Properties'!AE$31+'Material Properties'!AE$33</f>
        <v>0.00029034311030761144</v>
      </c>
      <c r="W173">
        <f t="shared" si="141"/>
        <v>0.00048457477095685325</v>
      </c>
      <c r="X173" s="1">
        <f>+'Volcano Summary'!E$12*10^9/Q173/3600/24/365</f>
        <v>0</v>
      </c>
      <c r="Y173" s="3">
        <f t="shared" si="142"/>
        <v>8</v>
      </c>
      <c r="Z173" s="1">
        <f>+Y173*'Volcano Summary'!B$19*'Volcano Summary'!B$20/1000</f>
        <v>324000</v>
      </c>
      <c r="AA173" s="1">
        <f t="shared" si="129"/>
        <v>1591295.9828944083</v>
      </c>
      <c r="AB173" s="3">
        <f t="shared" si="32"/>
        <v>442.02666191511344</v>
      </c>
      <c r="AC173" s="1">
        <f t="shared" si="143"/>
        <v>374861877.985668</v>
      </c>
      <c r="AD173" s="36">
        <f t="shared" si="144"/>
        <v>104128.29944046336</v>
      </c>
      <c r="AE173" s="36">
        <f t="shared" si="150"/>
        <v>4338.6791433526405</v>
      </c>
      <c r="AG173" s="1">
        <f t="shared" si="130"/>
        <v>324000000</v>
      </c>
      <c r="AH173" s="1">
        <f t="shared" si="145"/>
        <v>324000</v>
      </c>
      <c r="AI173" s="1">
        <f t="shared" si="146"/>
        <v>324324000</v>
      </c>
      <c r="AJ173" s="1">
        <f t="shared" si="147"/>
        <v>24116137438.240334</v>
      </c>
      <c r="AK173" s="1">
        <f t="shared" si="148"/>
        <v>24140253575.678574</v>
      </c>
      <c r="AL173" s="39">
        <f>+AJ173/('Volcano Summary'!C$8)*10^6</f>
        <v>1674.2116678186455</v>
      </c>
      <c r="AM173" s="1">
        <f t="shared" si="131"/>
        <v>4338.6791433526405</v>
      </c>
    </row>
    <row r="174" spans="1:39" ht="12.75" hidden="1">
      <c r="A174" s="1">
        <f t="shared" si="149"/>
        <v>1591295.9828944083</v>
      </c>
      <c r="B174" s="1">
        <f t="shared" si="151"/>
        <v>4356.865811760699</v>
      </c>
      <c r="C174" s="1">
        <f t="shared" si="112"/>
        <v>792</v>
      </c>
      <c r="D174" s="12">
        <f t="shared" si="132"/>
        <v>31.755404570407364</v>
      </c>
      <c r="E174" s="38">
        <f t="shared" si="124"/>
        <v>335266482.23174685</v>
      </c>
      <c r="F174" s="38">
        <f t="shared" si="125"/>
        <v>215558925.4103254</v>
      </c>
      <c r="G174" s="38">
        <f t="shared" si="126"/>
        <v>95851368.58890395</v>
      </c>
      <c r="H174" s="18">
        <f t="shared" si="133"/>
        <v>0.01574535128001318</v>
      </c>
      <c r="I174" s="50">
        <f t="shared" si="123"/>
        <v>0.04585952952655909</v>
      </c>
      <c r="J174" s="3">
        <f t="shared" si="134"/>
        <v>73.70744019318094</v>
      </c>
      <c r="K174" s="12">
        <f t="shared" si="152"/>
        <v>0.9706393445022705</v>
      </c>
      <c r="L174" s="3">
        <f t="shared" si="135"/>
        <v>1533.6871777569656</v>
      </c>
      <c r="M174" s="12">
        <v>0.718</v>
      </c>
      <c r="N174" s="37">
        <f t="shared" si="136"/>
        <v>1120.3387542870066</v>
      </c>
      <c r="O174" s="1">
        <f t="shared" si="127"/>
        <v>33873.300906151766</v>
      </c>
      <c r="P174">
        <f t="shared" si="137"/>
        <v>184.04700732734494</v>
      </c>
      <c r="Q174" s="1">
        <f t="shared" si="138"/>
        <v>206.1949949193692</v>
      </c>
      <c r="R174" s="1">
        <f>+Q174*1000/'Material Properties'!AE$35</f>
        <v>176830.0260062884</v>
      </c>
      <c r="S174" s="1">
        <f t="shared" si="139"/>
        <v>223.27023485642474</v>
      </c>
      <c r="T174" s="1">
        <f t="shared" si="140"/>
        <v>45.0300608674072</v>
      </c>
      <c r="U174">
        <f t="shared" si="128"/>
        <v>0.00018676003989550626</v>
      </c>
      <c r="V174">
        <f>+'Material Properties'!AE$31+'Material Properties'!AE$33</f>
        <v>0.00029034311030761144</v>
      </c>
      <c r="W174">
        <f t="shared" si="141"/>
        <v>0.00047710315020311773</v>
      </c>
      <c r="X174" s="1">
        <f>+'Volcano Summary'!E$12*10^9/Q174/3600/24/365</f>
        <v>0</v>
      </c>
      <c r="Y174" s="3">
        <f t="shared" si="142"/>
        <v>8</v>
      </c>
      <c r="Z174" s="1">
        <f>+Y174*'Volcano Summary'!B$19*'Volcano Summary'!B$20/1000</f>
        <v>324000</v>
      </c>
      <c r="AA174" s="1">
        <f t="shared" si="129"/>
        <v>1571328.1504563068</v>
      </c>
      <c r="AB174" s="3">
        <f t="shared" si="32"/>
        <v>436.48004179341854</v>
      </c>
      <c r="AC174" s="1">
        <f t="shared" si="143"/>
        <v>376433206.1361243</v>
      </c>
      <c r="AD174" s="36">
        <f t="shared" si="144"/>
        <v>104564.77948225678</v>
      </c>
      <c r="AE174" s="36">
        <f t="shared" si="150"/>
        <v>4356.865811760699</v>
      </c>
      <c r="AG174" s="1">
        <f t="shared" si="130"/>
        <v>324000000</v>
      </c>
      <c r="AH174" s="1">
        <f t="shared" si="145"/>
        <v>324000</v>
      </c>
      <c r="AI174" s="1">
        <f t="shared" si="146"/>
        <v>324324000</v>
      </c>
      <c r="AJ174" s="1">
        <f t="shared" si="147"/>
        <v>24440137438.240334</v>
      </c>
      <c r="AK174" s="1">
        <f t="shared" si="148"/>
        <v>24464577575.678574</v>
      </c>
      <c r="AL174" s="39">
        <f>+AJ174/('Volcano Summary'!C$8)*10^6</f>
        <v>1696.7046802988737</v>
      </c>
      <c r="AM174" s="1">
        <f t="shared" si="131"/>
        <v>4356.865811760699</v>
      </c>
    </row>
    <row r="175" spans="1:39" ht="12.75" hidden="1">
      <c r="A175" s="1">
        <f t="shared" si="149"/>
        <v>1571328.1504563068</v>
      </c>
      <c r="B175" s="1">
        <f t="shared" si="151"/>
        <v>4379.316688216816</v>
      </c>
      <c r="C175" s="1">
        <f t="shared" si="112"/>
        <v>800</v>
      </c>
      <c r="D175" s="12">
        <f t="shared" si="132"/>
        <v>31.915382432114615</v>
      </c>
      <c r="E175" s="38">
        <f t="shared" si="124"/>
        <v>336955492.83183634</v>
      </c>
      <c r="F175" s="38">
        <f t="shared" si="125"/>
        <v>216644871.4540169</v>
      </c>
      <c r="G175" s="38">
        <f t="shared" si="126"/>
        <v>96334250.07619749</v>
      </c>
      <c r="H175" s="18">
        <f t="shared" si="133"/>
        <v>0.015666426716443752</v>
      </c>
      <c r="I175" s="50">
        <f t="shared" si="123"/>
        <v>0.04580408227170584</v>
      </c>
      <c r="J175" s="3">
        <f t="shared" si="134"/>
        <v>73.258629822364</v>
      </c>
      <c r="K175" s="12">
        <f t="shared" si="152"/>
        <v>0.9694724375381465</v>
      </c>
      <c r="L175" s="3">
        <f t="shared" si="135"/>
        <v>1531.8433721677434</v>
      </c>
      <c r="M175" s="12">
        <v>0.718</v>
      </c>
      <c r="N175" s="37">
        <f t="shared" si="136"/>
        <v>1131.6553073606128</v>
      </c>
      <c r="O175" s="1">
        <f t="shared" si="127"/>
        <v>34039.84957985161</v>
      </c>
      <c r="P175">
        <f t="shared" si="137"/>
        <v>184.49891484735517</v>
      </c>
      <c r="Q175" s="1">
        <f t="shared" si="138"/>
        <v>208.78917618928327</v>
      </c>
      <c r="R175" s="1">
        <f>+Q175*1000/'Material Properties'!AE$35</f>
        <v>179054.7606154059</v>
      </c>
      <c r="S175" s="1">
        <f t="shared" si="139"/>
        <v>223.81845076925737</v>
      </c>
      <c r="T175" s="1">
        <f t="shared" si="140"/>
        <v>46.763444225627154</v>
      </c>
      <c r="U175">
        <f t="shared" si="128"/>
        <v>0.00017996811055857203</v>
      </c>
      <c r="V175">
        <f>+'Material Properties'!AE$31+'Material Properties'!AE$33</f>
        <v>0.00029034311030761144</v>
      </c>
      <c r="W175">
        <f t="shared" si="141"/>
        <v>0.0004703112208661835</v>
      </c>
      <c r="X175" s="1">
        <f>+'Volcano Summary'!E$12*10^9/Q175/3600/24/365</f>
        <v>0</v>
      </c>
      <c r="Y175" s="3">
        <f t="shared" si="142"/>
        <v>10</v>
      </c>
      <c r="Z175" s="1">
        <f>+Y175*'Volcano Summary'!B$19*'Volcano Summary'!B$20/1000</f>
        <v>405000</v>
      </c>
      <c r="AA175" s="1">
        <f t="shared" si="129"/>
        <v>1939755.7258084905</v>
      </c>
      <c r="AB175" s="3">
        <f t="shared" si="32"/>
        <v>538.8210349468029</v>
      </c>
      <c r="AC175" s="1">
        <f t="shared" si="143"/>
        <v>378372961.8619328</v>
      </c>
      <c r="AD175" s="36">
        <f t="shared" si="144"/>
        <v>105103.60051720358</v>
      </c>
      <c r="AE175" s="36">
        <f t="shared" si="150"/>
        <v>4379.316688216816</v>
      </c>
      <c r="AG175" s="1">
        <f t="shared" si="130"/>
        <v>405000000</v>
      </c>
      <c r="AH175" s="1">
        <f t="shared" si="145"/>
        <v>405000</v>
      </c>
      <c r="AI175" s="1">
        <f t="shared" si="146"/>
        <v>405405000</v>
      </c>
      <c r="AJ175" s="1">
        <f t="shared" si="147"/>
        <v>24845137438.240334</v>
      </c>
      <c r="AK175" s="1">
        <f t="shared" si="148"/>
        <v>24869982575.678574</v>
      </c>
      <c r="AL175" s="39">
        <f>+AJ175/('Volcano Summary'!C$8)*10^6</f>
        <v>1724.8209458991591</v>
      </c>
      <c r="AM175" s="1">
        <f t="shared" si="131"/>
        <v>4379.316688216816</v>
      </c>
    </row>
    <row r="176" spans="1:39" ht="12.75" hidden="1">
      <c r="A176" s="1">
        <f t="shared" si="149"/>
        <v>1939755.7258084905</v>
      </c>
      <c r="B176" s="1">
        <f t="shared" si="151"/>
        <v>4401.423219025515</v>
      </c>
      <c r="C176" s="1">
        <f>+C175+10</f>
        <v>810</v>
      </c>
      <c r="D176" s="12">
        <f t="shared" si="132"/>
        <v>32.11423409074988</v>
      </c>
      <c r="E176" s="38">
        <f t="shared" si="124"/>
        <v>339054924.3137681</v>
      </c>
      <c r="F176" s="38">
        <f t="shared" si="125"/>
        <v>217994696.7965485</v>
      </c>
      <c r="G176" s="38">
        <f t="shared" si="126"/>
        <v>96934469.27932887</v>
      </c>
      <c r="H176" s="18">
        <f t="shared" si="133"/>
        <v>0.0155694200455498</v>
      </c>
      <c r="I176" s="50">
        <f t="shared" si="123"/>
        <v>0.04573573278994186</v>
      </c>
      <c r="J176" s="3">
        <f t="shared" si="134"/>
        <v>72.70788348976302</v>
      </c>
      <c r="K176" s="12">
        <f t="shared" si="152"/>
        <v>0.9680404970733839</v>
      </c>
      <c r="L176" s="3">
        <f t="shared" si="135"/>
        <v>1529.5807926189575</v>
      </c>
      <c r="M176" s="12">
        <v>0.718</v>
      </c>
      <c r="N176" s="37">
        <f t="shared" si="136"/>
        <v>1145.8009987026205</v>
      </c>
      <c r="O176" s="1">
        <f t="shared" si="127"/>
        <v>34247.035259713455</v>
      </c>
      <c r="P176">
        <f t="shared" si="137"/>
        <v>185.05954517320487</v>
      </c>
      <c r="Q176" s="1">
        <f t="shared" si="138"/>
        <v>212.04141167891086</v>
      </c>
      <c r="R176" s="1">
        <f>+Q176*1000/'Material Properties'!AE$35</f>
        <v>181843.83358215907</v>
      </c>
      <c r="S176" s="1">
        <f t="shared" si="139"/>
        <v>224.49855997797417</v>
      </c>
      <c r="T176" s="1">
        <f t="shared" si="140"/>
        <v>48.88464181820132</v>
      </c>
      <c r="U176">
        <f t="shared" si="128"/>
        <v>0.00017230012483215076</v>
      </c>
      <c r="V176">
        <f>+'Material Properties'!AE$31+'Material Properties'!AE$33</f>
        <v>0.00029034311030761144</v>
      </c>
      <c r="W176">
        <f t="shared" si="141"/>
        <v>0.0004626432351397622</v>
      </c>
      <c r="X176" s="1">
        <f>+'Volcano Summary'!E$12*10^9/Q176/3600/24/365</f>
        <v>0</v>
      </c>
      <c r="Y176" s="3">
        <f t="shared" si="142"/>
        <v>10</v>
      </c>
      <c r="Z176" s="1">
        <f>+Y176*'Volcano Summary'!B$19*'Volcano Summary'!B$20/1000</f>
        <v>405000</v>
      </c>
      <c r="AA176" s="1">
        <f t="shared" si="129"/>
        <v>1910004.2618716462</v>
      </c>
      <c r="AB176" s="3">
        <f aca="true" t="shared" si="153" ref="AB176:AB239">+AA176/3600</f>
        <v>530.5567394087906</v>
      </c>
      <c r="AC176" s="1">
        <f t="shared" si="143"/>
        <v>380282966.12380445</v>
      </c>
      <c r="AD176" s="36">
        <f t="shared" si="144"/>
        <v>105634.15725661237</v>
      </c>
      <c r="AE176" s="36">
        <f t="shared" si="150"/>
        <v>4401.423219025515</v>
      </c>
      <c r="AG176" s="1">
        <f t="shared" si="130"/>
        <v>405000000</v>
      </c>
      <c r="AH176" s="1">
        <f t="shared" si="145"/>
        <v>405000</v>
      </c>
      <c r="AI176" s="1">
        <f t="shared" si="146"/>
        <v>405405000</v>
      </c>
      <c r="AJ176" s="1">
        <f t="shared" si="147"/>
        <v>25250137438.240334</v>
      </c>
      <c r="AK176" s="1">
        <f t="shared" si="148"/>
        <v>25275387575.678574</v>
      </c>
      <c r="AL176" s="39">
        <f>+AJ176/('Volcano Summary'!C$8)*10^6</f>
        <v>1752.9372114994444</v>
      </c>
      <c r="AM176" s="1">
        <f t="shared" si="131"/>
        <v>4401.423219025515</v>
      </c>
    </row>
    <row r="177" spans="1:39" ht="12.75" hidden="1">
      <c r="A177" s="1">
        <f t="shared" si="149"/>
        <v>1910004.2618716462</v>
      </c>
      <c r="B177" s="1">
        <f t="shared" si="151"/>
        <v>4423.1947478682805</v>
      </c>
      <c r="C177" s="1">
        <f aca="true" t="shared" si="154" ref="C177:C193">+C176+10</f>
        <v>820</v>
      </c>
      <c r="D177" s="12">
        <f t="shared" si="132"/>
        <v>32.31186201200472</v>
      </c>
      <c r="E177" s="38">
        <f t="shared" si="124"/>
        <v>341141435.8492447</v>
      </c>
      <c r="F177" s="38">
        <f t="shared" si="125"/>
        <v>219336215.28491524</v>
      </c>
      <c r="G177" s="38">
        <f t="shared" si="126"/>
        <v>97530994.72058584</v>
      </c>
      <c r="H177" s="18">
        <f t="shared" si="133"/>
        <v>0.015474193341573341</v>
      </c>
      <c r="I177" s="50">
        <f t="shared" si="123"/>
        <v>0.04566842192361999</v>
      </c>
      <c r="J177" s="3">
        <f t="shared" si="134"/>
        <v>72.16819904506424</v>
      </c>
      <c r="K177" s="12">
        <f t="shared" si="152"/>
        <v>0.9666373175171671</v>
      </c>
      <c r="L177" s="3">
        <f t="shared" si="135"/>
        <v>1527.363657587651</v>
      </c>
      <c r="M177" s="12">
        <v>0.718</v>
      </c>
      <c r="N177" s="37">
        <f t="shared" si="136"/>
        <v>1159.946690044628</v>
      </c>
      <c r="O177" s="1">
        <f t="shared" si="127"/>
        <v>34453.1271703665</v>
      </c>
      <c r="P177">
        <f t="shared" si="137"/>
        <v>185.61553590787193</v>
      </c>
      <c r="Q177" s="1">
        <f t="shared" si="138"/>
        <v>215.30412649719582</v>
      </c>
      <c r="R177" s="1">
        <f>+Q177*1000/'Material Properties'!AE$35</f>
        <v>184641.89347878288</v>
      </c>
      <c r="S177" s="1">
        <f t="shared" si="139"/>
        <v>225.173040827784</v>
      </c>
      <c r="T177" s="1">
        <f t="shared" si="140"/>
        <v>50.95694874391506</v>
      </c>
      <c r="U177">
        <f t="shared" si="128"/>
        <v>0.0001654146687719751</v>
      </c>
      <c r="V177">
        <f>+'Material Properties'!AE$31+'Material Properties'!AE$33</f>
        <v>0.00029034311030761144</v>
      </c>
      <c r="W177">
        <f t="shared" si="141"/>
        <v>0.00045575777907958654</v>
      </c>
      <c r="X177" s="1">
        <f>+'Volcano Summary'!E$12*10^9/Q177/3600/24/365</f>
        <v>0</v>
      </c>
      <c r="Y177" s="3">
        <f t="shared" si="142"/>
        <v>10</v>
      </c>
      <c r="Z177" s="1">
        <f>+Y177*'Volcano Summary'!B$19*'Volcano Summary'!B$20/1000</f>
        <v>405000</v>
      </c>
      <c r="AA177" s="1">
        <f t="shared" si="129"/>
        <v>1881060.0920148867</v>
      </c>
      <c r="AB177" s="3">
        <f t="shared" si="153"/>
        <v>522.5166922263575</v>
      </c>
      <c r="AC177" s="1">
        <f t="shared" si="143"/>
        <v>382164026.21581936</v>
      </c>
      <c r="AD177" s="36">
        <f t="shared" si="144"/>
        <v>106156.67394883872</v>
      </c>
      <c r="AE177" s="36">
        <f t="shared" si="150"/>
        <v>4423.1947478682805</v>
      </c>
      <c r="AG177" s="1">
        <f t="shared" si="130"/>
        <v>405000000</v>
      </c>
      <c r="AH177" s="1">
        <f t="shared" si="145"/>
        <v>405000</v>
      </c>
      <c r="AI177" s="1">
        <f t="shared" si="146"/>
        <v>405405000</v>
      </c>
      <c r="AJ177" s="1">
        <f t="shared" si="147"/>
        <v>25655137438.240334</v>
      </c>
      <c r="AK177" s="1">
        <f t="shared" si="148"/>
        <v>25680792575.678574</v>
      </c>
      <c r="AL177" s="39">
        <f>+AJ177/('Volcano Summary'!C$8)*10^6</f>
        <v>1781.05347709973</v>
      </c>
      <c r="AM177" s="1">
        <f t="shared" si="131"/>
        <v>4423.1947478682805</v>
      </c>
    </row>
    <row r="178" spans="1:39" ht="12.75" hidden="1">
      <c r="A178" s="1">
        <f t="shared" si="149"/>
        <v>1881060.0920148867</v>
      </c>
      <c r="B178" s="1">
        <f t="shared" si="151"/>
        <v>4444.64025706864</v>
      </c>
      <c r="C178" s="1">
        <f t="shared" si="154"/>
        <v>830</v>
      </c>
      <c r="D178" s="12">
        <f t="shared" si="132"/>
        <v>32.5082885143187</v>
      </c>
      <c r="E178" s="38">
        <f t="shared" si="124"/>
        <v>343215263.0713758</v>
      </c>
      <c r="F178" s="38">
        <f t="shared" si="125"/>
        <v>220669578.4189617</v>
      </c>
      <c r="G178" s="38">
        <f t="shared" si="126"/>
        <v>98123893.76654768</v>
      </c>
      <c r="H178" s="18">
        <f t="shared" si="133"/>
        <v>0.015380692827915824</v>
      </c>
      <c r="I178" s="50">
        <f t="shared" si="123"/>
        <v>0.04560212122388766</v>
      </c>
      <c r="J178" s="3">
        <f t="shared" si="134"/>
        <v>71.63922188459969</v>
      </c>
      <c r="K178" s="12">
        <f t="shared" si="152"/>
        <v>0.9652619768999593</v>
      </c>
      <c r="L178" s="3">
        <f t="shared" si="135"/>
        <v>1525.1905102888038</v>
      </c>
      <c r="M178" s="12">
        <v>0.718</v>
      </c>
      <c r="N178" s="37">
        <f t="shared" si="136"/>
        <v>1174.092381386636</v>
      </c>
      <c r="O178" s="1">
        <f t="shared" si="127"/>
        <v>34658.14357285231</v>
      </c>
      <c r="P178">
        <f t="shared" si="137"/>
        <v>186.16697766481656</v>
      </c>
      <c r="Q178" s="1">
        <f t="shared" si="138"/>
        <v>218.5772301420371</v>
      </c>
      <c r="R178" s="1">
        <f>+Q178*1000/'Material Properties'!AE$35</f>
        <v>187448.8626919051</v>
      </c>
      <c r="S178" s="1">
        <f t="shared" si="139"/>
        <v>225.84200324325914</v>
      </c>
      <c r="T178" s="1">
        <f t="shared" si="140"/>
        <v>52.98210317837538</v>
      </c>
      <c r="U178">
        <f t="shared" si="128"/>
        <v>0.00015919757199534456</v>
      </c>
      <c r="V178">
        <f>+'Material Properties'!AE$31+'Material Properties'!AE$33</f>
        <v>0.00029034311030761144</v>
      </c>
      <c r="W178">
        <f t="shared" si="141"/>
        <v>0.000449540682302956</v>
      </c>
      <c r="X178" s="1">
        <f>+'Volcano Summary'!E$12*10^9/Q178/3600/24/365</f>
        <v>0</v>
      </c>
      <c r="Y178" s="3">
        <f t="shared" si="142"/>
        <v>10</v>
      </c>
      <c r="Z178" s="1">
        <f>+Y178*'Volcano Summary'!B$19*'Volcano Summary'!B$20/1000</f>
        <v>405000</v>
      </c>
      <c r="AA178" s="1">
        <f t="shared" si="129"/>
        <v>1852891.9949110004</v>
      </c>
      <c r="AB178" s="3">
        <f t="shared" si="153"/>
        <v>514.6922208086112</v>
      </c>
      <c r="AC178" s="1">
        <f t="shared" si="143"/>
        <v>384016918.2107304</v>
      </c>
      <c r="AD178" s="36">
        <f t="shared" si="144"/>
        <v>106671.36616964734</v>
      </c>
      <c r="AE178" s="36">
        <f t="shared" si="150"/>
        <v>4444.64025706864</v>
      </c>
      <c r="AG178" s="1">
        <f t="shared" si="130"/>
        <v>405000000</v>
      </c>
      <c r="AH178" s="1">
        <f t="shared" si="145"/>
        <v>405000</v>
      </c>
      <c r="AI178" s="1">
        <f t="shared" si="146"/>
        <v>405405000</v>
      </c>
      <c r="AJ178" s="1">
        <f t="shared" si="147"/>
        <v>26060137438.240334</v>
      </c>
      <c r="AK178" s="1">
        <f t="shared" si="148"/>
        <v>26086197575.678574</v>
      </c>
      <c r="AL178" s="39">
        <f>+AJ178/('Volcano Summary'!C$8)*10^6</f>
        <v>1809.1697427000151</v>
      </c>
      <c r="AM178" s="1">
        <f t="shared" si="131"/>
        <v>4444.64025706864</v>
      </c>
    </row>
    <row r="179" spans="1:39" ht="12.75" hidden="1">
      <c r="A179" s="1">
        <f t="shared" si="149"/>
        <v>1852891.9949110004</v>
      </c>
      <c r="B179" s="1">
        <f t="shared" si="151"/>
        <v>4465.768385647726</v>
      </c>
      <c r="C179" s="1">
        <f t="shared" si="154"/>
        <v>840</v>
      </c>
      <c r="D179" s="12">
        <f t="shared" si="132"/>
        <v>32.703535245865034</v>
      </c>
      <c r="E179" s="38">
        <f t="shared" si="124"/>
        <v>345276634.5367479</v>
      </c>
      <c r="F179" s="38">
        <f t="shared" si="125"/>
        <v>221994933.14869568</v>
      </c>
      <c r="G179" s="38">
        <f t="shared" si="126"/>
        <v>98713231.76064354</v>
      </c>
      <c r="H179" s="18">
        <f t="shared" si="133"/>
        <v>0.015288866975420309</v>
      </c>
      <c r="I179" s="50">
        <f t="shared" si="123"/>
        <v>0.045536803356921854</v>
      </c>
      <c r="J179" s="3">
        <f t="shared" si="134"/>
        <v>71.12061290098512</v>
      </c>
      <c r="K179" s="12">
        <f t="shared" si="152"/>
        <v>0.9639135935425613</v>
      </c>
      <c r="L179" s="3">
        <f t="shared" si="135"/>
        <v>1523.059957599326</v>
      </c>
      <c r="M179" s="12">
        <v>0.718</v>
      </c>
      <c r="N179" s="37">
        <f t="shared" si="136"/>
        <v>1188.2380727286431</v>
      </c>
      <c r="O179" s="1">
        <f t="shared" si="127"/>
        <v>34862.102209398276</v>
      </c>
      <c r="P179">
        <f t="shared" si="137"/>
        <v>186.71395826075317</v>
      </c>
      <c r="Q179" s="1">
        <f t="shared" si="138"/>
        <v>221.86063391529368</v>
      </c>
      <c r="R179" s="1">
        <f>+Q179*1000/'Material Properties'!AE$35</f>
        <v>190264.66515520515</v>
      </c>
      <c r="S179" s="1">
        <f t="shared" si="139"/>
        <v>226.5055537561966</v>
      </c>
      <c r="T179" s="1">
        <f t="shared" si="140"/>
        <v>54.96176068897853</v>
      </c>
      <c r="U179">
        <f t="shared" si="128"/>
        <v>0.0001535558474026475</v>
      </c>
      <c r="V179">
        <f>+'Material Properties'!AE$31+'Material Properties'!AE$33</f>
        <v>0.00029034311030761144</v>
      </c>
      <c r="W179">
        <f t="shared" si="141"/>
        <v>0.00044389895771025894</v>
      </c>
      <c r="X179" s="1">
        <f>+'Volcano Summary'!E$12*10^9/Q179/3600/24/365</f>
        <v>0</v>
      </c>
      <c r="Y179" s="3">
        <f t="shared" si="142"/>
        <v>10</v>
      </c>
      <c r="Z179" s="1">
        <f>+Y179*'Volcano Summary'!B$19*'Volcano Summary'!B$20/1000</f>
        <v>405000</v>
      </c>
      <c r="AA179" s="1">
        <f t="shared" si="129"/>
        <v>1825470.3092330876</v>
      </c>
      <c r="AB179" s="3">
        <f t="shared" si="153"/>
        <v>507.07508589807986</v>
      </c>
      <c r="AC179" s="1">
        <f t="shared" si="143"/>
        <v>385842388.51996344</v>
      </c>
      <c r="AD179" s="36">
        <f t="shared" si="144"/>
        <v>107178.44125554542</v>
      </c>
      <c r="AE179" s="36">
        <f t="shared" si="150"/>
        <v>4465.768385647726</v>
      </c>
      <c r="AG179" s="1">
        <f t="shared" si="130"/>
        <v>405000000</v>
      </c>
      <c r="AH179" s="1">
        <f t="shared" si="145"/>
        <v>405000</v>
      </c>
      <c r="AI179" s="1">
        <f t="shared" si="146"/>
        <v>405405000</v>
      </c>
      <c r="AJ179" s="1">
        <f t="shared" si="147"/>
        <v>26465137438.240334</v>
      </c>
      <c r="AK179" s="1">
        <f t="shared" si="148"/>
        <v>26491602575.678574</v>
      </c>
      <c r="AL179" s="39">
        <f>+AJ179/('Volcano Summary'!C$8)*10^6</f>
        <v>1837.2860083003009</v>
      </c>
      <c r="AM179" s="1">
        <f t="shared" si="131"/>
        <v>4465.768385647726</v>
      </c>
    </row>
    <row r="180" spans="1:39" ht="12.75" hidden="1">
      <c r="A180" s="1">
        <f t="shared" si="149"/>
        <v>1825470.3092330876</v>
      </c>
      <c r="B180" s="1">
        <f t="shared" si="151"/>
        <v>4486.587446278221</v>
      </c>
      <c r="C180" s="1">
        <f t="shared" si="154"/>
        <v>850</v>
      </c>
      <c r="D180" s="12">
        <f t="shared" si="132"/>
        <v>32.897623212397704</v>
      </c>
      <c r="E180" s="38">
        <f t="shared" si="124"/>
        <v>347325772.01942885</v>
      </c>
      <c r="F180" s="38">
        <f t="shared" si="125"/>
        <v>223312422.06331792</v>
      </c>
      <c r="G180" s="38">
        <f t="shared" si="126"/>
        <v>99299072.1072071</v>
      </c>
      <c r="H180" s="18">
        <f t="shared" si="133"/>
        <v>0.015198666383034366</v>
      </c>
      <c r="I180" s="50">
        <f t="shared" si="123"/>
        <v>0.045472442047424684</v>
      </c>
      <c r="J180" s="3">
        <f t="shared" si="134"/>
        <v>70.6120476300672</v>
      </c>
      <c r="K180" s="12">
        <f t="shared" si="152"/>
        <v>0.9625913238381748</v>
      </c>
      <c r="L180" s="3">
        <f t="shared" si="135"/>
        <v>1520.9706665535423</v>
      </c>
      <c r="M180" s="12">
        <v>0.718</v>
      </c>
      <c r="N180" s="37">
        <f t="shared" si="136"/>
        <v>1202.3837640706506</v>
      </c>
      <c r="O180" s="1">
        <f t="shared" si="127"/>
        <v>35065.020324110425</v>
      </c>
      <c r="P180">
        <f t="shared" si="137"/>
        <v>187.25656283321666</v>
      </c>
      <c r="Q180" s="1">
        <f t="shared" si="138"/>
        <v>225.15425086633536</v>
      </c>
      <c r="R180" s="1">
        <f>+Q180*1000/'Material Properties'!AE$35</f>
        <v>193089.22630100403</v>
      </c>
      <c r="S180" s="1">
        <f t="shared" si="139"/>
        <v>227.16379564824004</v>
      </c>
      <c r="T180" s="1">
        <f t="shared" si="140"/>
        <v>56.89749911673698</v>
      </c>
      <c r="U180">
        <f t="shared" si="128"/>
        <v>0.00014841299590964506</v>
      </c>
      <c r="V180">
        <f>+'Material Properties'!AE$31+'Material Properties'!AE$33</f>
        <v>0.00029034311030761144</v>
      </c>
      <c r="W180">
        <f t="shared" si="141"/>
        <v>0.0004387561062172565</v>
      </c>
      <c r="X180" s="1">
        <f>+'Volcano Summary'!E$12*10^9/Q180/3600/24/365</f>
        <v>0</v>
      </c>
      <c r="Y180" s="3">
        <f t="shared" si="142"/>
        <v>10</v>
      </c>
      <c r="Z180" s="1">
        <f>+Y180*'Volcano Summary'!B$19*'Volcano Summary'!B$20/1000</f>
        <v>405000</v>
      </c>
      <c r="AA180" s="1">
        <f t="shared" si="129"/>
        <v>1798766.8384747996</v>
      </c>
      <c r="AB180" s="3">
        <f t="shared" si="153"/>
        <v>499.6574551318888</v>
      </c>
      <c r="AC180" s="1">
        <f t="shared" si="143"/>
        <v>387641155.35843825</v>
      </c>
      <c r="AD180" s="36">
        <f t="shared" si="144"/>
        <v>107678.09871067731</v>
      </c>
      <c r="AE180" s="36">
        <f t="shared" si="150"/>
        <v>4486.587446278221</v>
      </c>
      <c r="AG180" s="1">
        <f t="shared" si="130"/>
        <v>405000000</v>
      </c>
      <c r="AH180" s="1">
        <f t="shared" si="145"/>
        <v>405000</v>
      </c>
      <c r="AI180" s="1">
        <f t="shared" si="146"/>
        <v>405405000</v>
      </c>
      <c r="AJ180" s="1">
        <f t="shared" si="147"/>
        <v>26870137438.240334</v>
      </c>
      <c r="AK180" s="1">
        <f t="shared" si="148"/>
        <v>26897007575.678574</v>
      </c>
      <c r="AL180" s="39">
        <f>+AJ180/('Volcano Summary'!C$8)*10^6</f>
        <v>1865.4022739005861</v>
      </c>
      <c r="AM180" s="1">
        <f t="shared" si="131"/>
        <v>4486.587446278221</v>
      </c>
    </row>
    <row r="181" spans="1:39" ht="12.75" hidden="1">
      <c r="A181" s="1">
        <f t="shared" si="149"/>
        <v>1798766.8384747996</v>
      </c>
      <c r="B181" s="1">
        <f t="shared" si="151"/>
        <v>4507.105441215794</v>
      </c>
      <c r="C181" s="1">
        <f t="shared" si="154"/>
        <v>860</v>
      </c>
      <c r="D181" s="12">
        <f t="shared" si="132"/>
        <v>33.090572803628525</v>
      </c>
      <c r="E181" s="38">
        <f t="shared" si="124"/>
        <v>349362890.7894506</v>
      </c>
      <c r="F181" s="38">
        <f t="shared" si="125"/>
        <v>224622183.57027218</v>
      </c>
      <c r="G181" s="38">
        <f t="shared" si="126"/>
        <v>99881476.35109377</v>
      </c>
      <c r="H181" s="18">
        <f t="shared" si="133"/>
        <v>0.015110043666127558</v>
      </c>
      <c r="I181" s="50">
        <f t="shared" si="123"/>
        <v>0.04540901202561449</v>
      </c>
      <c r="J181" s="3">
        <f t="shared" si="134"/>
        <v>70.11321545427464</v>
      </c>
      <c r="K181" s="12">
        <f t="shared" si="152"/>
        <v>0.9612943601811141</v>
      </c>
      <c r="L181" s="3">
        <f t="shared" si="135"/>
        <v>1518.921361070391</v>
      </c>
      <c r="M181" s="12">
        <v>0.718</v>
      </c>
      <c r="N181" s="37">
        <f t="shared" si="136"/>
        <v>1216.529455412658</v>
      </c>
      <c r="O181" s="1">
        <f t="shared" si="127"/>
        <v>35266.914682608665</v>
      </c>
      <c r="P181">
        <f t="shared" si="137"/>
        <v>187.79487395189642</v>
      </c>
      <c r="Q181" s="1">
        <f t="shared" si="138"/>
        <v>228.4579957379893</v>
      </c>
      <c r="R181" s="1">
        <f>+Q181*1000/'Material Properties'!AE$35</f>
        <v>195922.47301390878</v>
      </c>
      <c r="S181" s="1">
        <f t="shared" si="139"/>
        <v>227.81682908594044</v>
      </c>
      <c r="T181" s="1">
        <f t="shared" si="140"/>
        <v>58.79082311480238</v>
      </c>
      <c r="U181">
        <f t="shared" si="128"/>
        <v>0.00014370550701742318</v>
      </c>
      <c r="V181">
        <f>+'Material Properties'!AE$31+'Material Properties'!AE$33</f>
        <v>0.00029034311030761144</v>
      </c>
      <c r="W181">
        <f t="shared" si="141"/>
        <v>0.00043404861732503465</v>
      </c>
      <c r="X181" s="1">
        <f>+'Volcano Summary'!E$12*10^9/Q181/3600/24/365</f>
        <v>0</v>
      </c>
      <c r="Y181" s="3">
        <f t="shared" si="142"/>
        <v>10</v>
      </c>
      <c r="Z181" s="1">
        <f>+Y181*'Volcano Summary'!B$19*'Volcano Summary'!B$20/1000</f>
        <v>405000</v>
      </c>
      <c r="AA181" s="1">
        <f t="shared" si="129"/>
        <v>1772754.7626062548</v>
      </c>
      <c r="AB181" s="3">
        <f t="shared" si="153"/>
        <v>492.43187850173746</v>
      </c>
      <c r="AC181" s="1">
        <f t="shared" si="143"/>
        <v>389413910.1210445</v>
      </c>
      <c r="AD181" s="36">
        <f t="shared" si="144"/>
        <v>108170.53058917905</v>
      </c>
      <c r="AE181" s="36">
        <f t="shared" si="150"/>
        <v>4507.105441215794</v>
      </c>
      <c r="AG181" s="1">
        <f t="shared" si="130"/>
        <v>405000000</v>
      </c>
      <c r="AH181" s="1">
        <f t="shared" si="145"/>
        <v>405000</v>
      </c>
      <c r="AI181" s="1">
        <f t="shared" si="146"/>
        <v>405405000</v>
      </c>
      <c r="AJ181" s="1">
        <f t="shared" si="147"/>
        <v>27275137438.240334</v>
      </c>
      <c r="AK181" s="1">
        <f t="shared" si="148"/>
        <v>27302412575.678574</v>
      </c>
      <c r="AL181" s="39">
        <f>+AJ181/('Volcano Summary'!C$8)*10^6</f>
        <v>1893.5185395008716</v>
      </c>
      <c r="AM181" s="1">
        <f t="shared" si="131"/>
        <v>4507.105441215794</v>
      </c>
    </row>
    <row r="182" spans="1:39" ht="12.75" hidden="1">
      <c r="A182" s="1">
        <f t="shared" si="149"/>
        <v>1772754.7626062548</v>
      </c>
      <c r="B182" s="1">
        <f t="shared" si="151"/>
        <v>4527.088925761076</v>
      </c>
      <c r="C182" s="1">
        <f t="shared" si="154"/>
        <v>870</v>
      </c>
      <c r="D182" s="12">
        <f t="shared" si="132"/>
        <v>33.282403818227905</v>
      </c>
      <c r="E182" s="38">
        <f t="shared" si="124"/>
        <v>351388199.8767615</v>
      </c>
      <c r="F182" s="38">
        <f t="shared" si="125"/>
        <v>225924352.06495258</v>
      </c>
      <c r="G182" s="38">
        <f t="shared" si="126"/>
        <v>100460504.25314368</v>
      </c>
      <c r="H182" s="18">
        <f t="shared" si="133"/>
        <v>0.015022953351889896</v>
      </c>
      <c r="I182" s="50">
        <v>0.044</v>
      </c>
      <c r="J182" s="3">
        <f t="shared" si="134"/>
        <v>67.60099474831554</v>
      </c>
      <c r="K182" s="12">
        <f t="shared" si="152"/>
        <v>0.9547625863456205</v>
      </c>
      <c r="L182" s="3">
        <f t="shared" si="135"/>
        <v>1508.6006401597401</v>
      </c>
      <c r="M182" s="12">
        <v>0.718</v>
      </c>
      <c r="N182" s="37">
        <f t="shared" si="136"/>
        <v>1230.675146754666</v>
      </c>
      <c r="O182" s="1">
        <f t="shared" si="127"/>
        <v>36328.98491013625</v>
      </c>
      <c r="P182">
        <f t="shared" si="137"/>
        <v>190.60163931649763</v>
      </c>
      <c r="Q182" s="1">
        <f t="shared" si="138"/>
        <v>234.5687004375106</v>
      </c>
      <c r="R182" s="1">
        <f>+Q182*1000/'Material Properties'!AE$35</f>
        <v>201162.93033614225</v>
      </c>
      <c r="S182" s="1">
        <f t="shared" si="139"/>
        <v>231.22175900706006</v>
      </c>
      <c r="T182" s="1">
        <f t="shared" si="140"/>
        <v>68.24519119816796</v>
      </c>
      <c r="U182">
        <f t="shared" si="128"/>
        <v>0.00012405634942010653</v>
      </c>
      <c r="V182">
        <f>+'Material Properties'!AE$31+'Material Properties'!AE$33</f>
        <v>0.00029034311030761144</v>
      </c>
      <c r="W182">
        <f t="shared" si="141"/>
        <v>0.000414399459727718</v>
      </c>
      <c r="X182" s="1">
        <f>+'Volcano Summary'!E$12*10^9/Q182/3600/24/365</f>
        <v>0</v>
      </c>
      <c r="Y182" s="3">
        <f t="shared" si="142"/>
        <v>10</v>
      </c>
      <c r="Z182" s="1">
        <f>+Y182*'Volcano Summary'!B$19*'Volcano Summary'!B$20/1000</f>
        <v>405000</v>
      </c>
      <c r="AA182" s="1">
        <f t="shared" si="129"/>
        <v>1726573.06471241</v>
      </c>
      <c r="AB182" s="3">
        <f t="shared" si="153"/>
        <v>479.6036290867806</v>
      </c>
      <c r="AC182" s="1">
        <f t="shared" si="143"/>
        <v>391140483.1857569</v>
      </c>
      <c r="AD182" s="36">
        <f t="shared" si="144"/>
        <v>108650.13421826583</v>
      </c>
      <c r="AE182" s="36">
        <f t="shared" si="150"/>
        <v>4527.088925761076</v>
      </c>
      <c r="AG182" s="1">
        <f t="shared" si="130"/>
        <v>404999999.99999994</v>
      </c>
      <c r="AH182" s="1">
        <f t="shared" si="145"/>
        <v>405000</v>
      </c>
      <c r="AI182" s="1">
        <f t="shared" si="146"/>
        <v>405404999.99999994</v>
      </c>
      <c r="AJ182" s="1">
        <f t="shared" si="147"/>
        <v>27680137438.240334</v>
      </c>
      <c r="AK182" s="1">
        <f t="shared" si="148"/>
        <v>27707817575.678574</v>
      </c>
      <c r="AL182" s="39">
        <f>+AJ182/('Volcano Summary'!C$8)*10^6</f>
        <v>1921.6348051011569</v>
      </c>
      <c r="AM182" s="1">
        <f t="shared" si="131"/>
        <v>4527.088925761076</v>
      </c>
    </row>
    <row r="183" spans="1:39" ht="12.75" hidden="1">
      <c r="A183" s="1">
        <f t="shared" si="149"/>
        <v>1726573.06471241</v>
      </c>
      <c r="B183" s="1">
        <f t="shared" si="151"/>
        <v>4546.78961901655</v>
      </c>
      <c r="C183" s="1">
        <f t="shared" si="154"/>
        <v>880</v>
      </c>
      <c r="D183" s="12">
        <f t="shared" si="132"/>
        <v>33.47313548753602</v>
      </c>
      <c r="E183" s="38">
        <f t="shared" si="124"/>
        <v>353401902.32156396</v>
      </c>
      <c r="F183" s="38">
        <f t="shared" si="125"/>
        <v>227219058.091658</v>
      </c>
      <c r="G183" s="38">
        <f t="shared" si="126"/>
        <v>101036213.86175205</v>
      </c>
      <c r="H183" s="18">
        <f t="shared" si="133"/>
        <v>0.014937351781286783</v>
      </c>
      <c r="I183" s="50">
        <f>+I$182*LN(H$182)/LN(H183)</f>
        <v>0.04394019080283386</v>
      </c>
      <c r="J183" s="3">
        <f t="shared" si="134"/>
        <v>67.13500873587914</v>
      </c>
      <c r="K183" s="12">
        <f t="shared" si="152"/>
        <v>0.9535510227132858</v>
      </c>
      <c r="L183" s="3">
        <f t="shared" si="135"/>
        <v>1506.6862734915508</v>
      </c>
      <c r="M183" s="12">
        <v>0.718</v>
      </c>
      <c r="N183" s="37">
        <f t="shared" si="136"/>
        <v>1244.820838096674</v>
      </c>
      <c r="O183" s="1">
        <f t="shared" si="127"/>
        <v>36534.72511095924</v>
      </c>
      <c r="P183">
        <f t="shared" si="137"/>
        <v>191.14058990951983</v>
      </c>
      <c r="Q183" s="1">
        <f t="shared" si="138"/>
        <v>237.93578932546114</v>
      </c>
      <c r="R183" s="1">
        <f>+Q183*1000/'Material Properties'!AE$35</f>
        <v>204050.50001674774</v>
      </c>
      <c r="S183" s="1">
        <f t="shared" si="139"/>
        <v>231.8755682008497</v>
      </c>
      <c r="T183" s="1">
        <f t="shared" si="140"/>
        <v>69.98403649561305</v>
      </c>
      <c r="U183">
        <f t="shared" si="128"/>
        <v>0.00012101314236712348</v>
      </c>
      <c r="V183">
        <f>+'Material Properties'!AE$31+'Material Properties'!AE$33</f>
        <v>0.00029034311030761144</v>
      </c>
      <c r="W183">
        <f t="shared" si="141"/>
        <v>0.0004113562526747349</v>
      </c>
      <c r="X183" s="1">
        <f>+'Volcano Summary'!E$12*10^9/Q183/3600/24/365</f>
        <v>0</v>
      </c>
      <c r="Y183" s="3">
        <f t="shared" si="142"/>
        <v>10</v>
      </c>
      <c r="Z183" s="1">
        <f>+Y183*'Volcano Summary'!B$19*'Volcano Summary'!B$20/1000</f>
        <v>405000</v>
      </c>
      <c r="AA183" s="1">
        <f t="shared" si="129"/>
        <v>1702139.8972729554</v>
      </c>
      <c r="AB183" s="3">
        <f t="shared" si="153"/>
        <v>472.8166381313765</v>
      </c>
      <c r="AC183" s="1">
        <f t="shared" si="143"/>
        <v>392842623.08302987</v>
      </c>
      <c r="AD183" s="36">
        <f t="shared" si="144"/>
        <v>109122.9508563972</v>
      </c>
      <c r="AE183" s="36">
        <f t="shared" si="150"/>
        <v>4546.78961901655</v>
      </c>
      <c r="AG183" s="1">
        <f t="shared" si="130"/>
        <v>405000000</v>
      </c>
      <c r="AH183" s="1">
        <f t="shared" si="145"/>
        <v>405000</v>
      </c>
      <c r="AI183" s="1">
        <f t="shared" si="146"/>
        <v>405405000</v>
      </c>
      <c r="AJ183" s="1">
        <f t="shared" si="147"/>
        <v>28085137438.240334</v>
      </c>
      <c r="AK183" s="1">
        <f t="shared" si="148"/>
        <v>28113222575.678574</v>
      </c>
      <c r="AL183" s="39">
        <f>+AJ183/('Volcano Summary'!C$8)*10^6</f>
        <v>1949.7510707014424</v>
      </c>
      <c r="AM183" s="1">
        <f t="shared" si="131"/>
        <v>4546.78961901655</v>
      </c>
    </row>
    <row r="184" spans="1:39" ht="12.75" hidden="1">
      <c r="A184" s="1">
        <f t="shared" si="149"/>
        <v>1702139.8972729554</v>
      </c>
      <c r="B184" s="1">
        <f t="shared" si="151"/>
        <v>4566.214605243217</v>
      </c>
      <c r="C184" s="1">
        <f t="shared" si="154"/>
        <v>890</v>
      </c>
      <c r="D184" s="12">
        <f t="shared" si="132"/>
        <v>33.66278649806482</v>
      </c>
      <c r="E184" s="38">
        <f t="shared" si="124"/>
        <v>355404195.4118853</v>
      </c>
      <c r="F184" s="38">
        <f t="shared" si="125"/>
        <v>228506428.4963376</v>
      </c>
      <c r="G184" s="38">
        <f t="shared" si="126"/>
        <v>101608661.58078988</v>
      </c>
      <c r="H184" s="18">
        <f t="shared" si="133"/>
        <v>0.014853197017090182</v>
      </c>
      <c r="I184" s="50">
        <f aca="true" t="shared" si="155" ref="I184:I242">+I$182*LN(H$182)/LN(H184)</f>
        <v>0.043881217067436994</v>
      </c>
      <c r="J184" s="3">
        <f t="shared" si="134"/>
        <v>66.67763624523418</v>
      </c>
      <c r="K184" s="12">
        <f t="shared" si="152"/>
        <v>0.9523618542376089</v>
      </c>
      <c r="L184" s="3">
        <f t="shared" si="135"/>
        <v>1504.8072929477796</v>
      </c>
      <c r="M184" s="12">
        <v>0.718</v>
      </c>
      <c r="N184" s="37">
        <f t="shared" si="136"/>
        <v>1258.9665294386816</v>
      </c>
      <c r="O184" s="1">
        <f t="shared" si="127"/>
        <v>36739.458751811784</v>
      </c>
      <c r="P184">
        <f t="shared" si="137"/>
        <v>191.67539944346478</v>
      </c>
      <c r="Q184" s="1">
        <f t="shared" si="138"/>
        <v>241.31291241611186</v>
      </c>
      <c r="R184" s="1">
        <f>+Q184*1000/'Material Properties'!AE$35</f>
        <v>206946.67489325104</v>
      </c>
      <c r="S184" s="1">
        <f t="shared" si="139"/>
        <v>232.5243538126416</v>
      </c>
      <c r="T184" s="1">
        <f t="shared" si="140"/>
        <v>71.68622916575555</v>
      </c>
      <c r="U184">
        <f t="shared" si="128"/>
        <v>0.00011817530816226568</v>
      </c>
      <c r="V184">
        <f>+'Material Properties'!AE$31+'Material Properties'!AE$33</f>
        <v>0.00029034311030761144</v>
      </c>
      <c r="W184">
        <f t="shared" si="141"/>
        <v>0.0004085184184698771</v>
      </c>
      <c r="X184" s="1">
        <f>+'Volcano Summary'!E$12*10^9/Q184/3600/24/365</f>
        <v>0</v>
      </c>
      <c r="Y184" s="3">
        <f t="shared" si="142"/>
        <v>10</v>
      </c>
      <c r="Z184" s="1">
        <f>+Y184*'Volcano Summary'!B$19*'Volcano Summary'!B$20/1000</f>
        <v>405000</v>
      </c>
      <c r="AA184" s="1">
        <f t="shared" si="129"/>
        <v>1678318.8099840742</v>
      </c>
      <c r="AB184" s="3">
        <f t="shared" si="153"/>
        <v>466.1996694400206</v>
      </c>
      <c r="AC184" s="1">
        <f t="shared" si="143"/>
        <v>394520941.89301395</v>
      </c>
      <c r="AD184" s="36">
        <f t="shared" si="144"/>
        <v>109589.15052583722</v>
      </c>
      <c r="AE184" s="36">
        <f t="shared" si="150"/>
        <v>4566.214605243217</v>
      </c>
      <c r="AG184" s="1">
        <f t="shared" si="130"/>
        <v>405000000</v>
      </c>
      <c r="AH184" s="1">
        <f t="shared" si="145"/>
        <v>405000</v>
      </c>
      <c r="AI184" s="1">
        <f t="shared" si="146"/>
        <v>405405000</v>
      </c>
      <c r="AJ184" s="1">
        <f t="shared" si="147"/>
        <v>28490137438.240334</v>
      </c>
      <c r="AK184" s="1">
        <f t="shared" si="148"/>
        <v>28518627575.678574</v>
      </c>
      <c r="AL184" s="39">
        <f>+AJ184/('Volcano Summary'!C$8)*10^6</f>
        <v>1977.8673363017276</v>
      </c>
      <c r="AM184" s="1">
        <f t="shared" si="131"/>
        <v>4566.214605243217</v>
      </c>
    </row>
    <row r="185" spans="1:39" ht="12.75" hidden="1">
      <c r="A185" s="1">
        <f t="shared" si="149"/>
        <v>1678318.8099840742</v>
      </c>
      <c r="B185" s="1">
        <f t="shared" si="151"/>
        <v>4585.370715602553</v>
      </c>
      <c r="C185" s="1">
        <f t="shared" si="154"/>
        <v>900</v>
      </c>
      <c r="D185" s="12">
        <f t="shared" si="132"/>
        <v>33.851375012865375</v>
      </c>
      <c r="E185" s="38">
        <f t="shared" si="124"/>
        <v>357395270.90916985</v>
      </c>
      <c r="F185" s="38">
        <f t="shared" si="125"/>
        <v>229786586.57163486</v>
      </c>
      <c r="G185" s="38">
        <f t="shared" si="126"/>
        <v>102177902.23409988</v>
      </c>
      <c r="H185" s="18">
        <f t="shared" si="133"/>
        <v>0.014770448757545967</v>
      </c>
      <c r="I185" s="50">
        <f t="shared" si="155"/>
        <v>0.04382305772227534</v>
      </c>
      <c r="J185" s="3">
        <f t="shared" si="134"/>
        <v>66.2286228485847</v>
      </c>
      <c r="K185" s="12">
        <f t="shared" si="152"/>
        <v>0.9511944194063203</v>
      </c>
      <c r="L185" s="3">
        <f t="shared" si="135"/>
        <v>1502.962653286555</v>
      </c>
      <c r="M185" s="12">
        <v>0.718</v>
      </c>
      <c r="N185" s="37">
        <f t="shared" si="136"/>
        <v>1273.1122207806893</v>
      </c>
      <c r="O185" s="1">
        <f t="shared" si="127"/>
        <v>36943.20132834375</v>
      </c>
      <c r="P185">
        <f t="shared" si="137"/>
        <v>192.20614279555102</v>
      </c>
      <c r="Q185" s="1">
        <f t="shared" si="138"/>
        <v>244.69998930213424</v>
      </c>
      <c r="R185" s="1">
        <f>+Q185*1000/'Material Properties'!AE$35</f>
        <v>209851.38600941972</v>
      </c>
      <c r="S185" s="1">
        <f t="shared" si="139"/>
        <v>233.168206677133</v>
      </c>
      <c r="T185" s="1">
        <f t="shared" si="140"/>
        <v>73.35296490426754</v>
      </c>
      <c r="U185">
        <f t="shared" si="128"/>
        <v>0.00011552265974913282</v>
      </c>
      <c r="V185">
        <f>+'Material Properties'!AE$31+'Material Properties'!AE$33</f>
        <v>0.00029034311030761144</v>
      </c>
      <c r="W185">
        <f t="shared" si="141"/>
        <v>0.00040586577005674427</v>
      </c>
      <c r="X185" s="1">
        <f>+'Volcano Summary'!E$12*10^9/Q185/3600/24/365</f>
        <v>0</v>
      </c>
      <c r="Y185" s="3">
        <f t="shared" si="142"/>
        <v>10</v>
      </c>
      <c r="Z185" s="1">
        <f>+Y185*'Volcano Summary'!B$19*'Volcano Summary'!B$20/1000</f>
        <v>405000</v>
      </c>
      <c r="AA185" s="1">
        <f t="shared" si="129"/>
        <v>1655087.9350466225</v>
      </c>
      <c r="AB185" s="3">
        <f t="shared" si="153"/>
        <v>459.74664862406183</v>
      </c>
      <c r="AC185" s="1">
        <f t="shared" si="143"/>
        <v>396176029.82806057</v>
      </c>
      <c r="AD185" s="36">
        <f t="shared" si="144"/>
        <v>110048.89717446128</v>
      </c>
      <c r="AE185" s="36">
        <f t="shared" si="150"/>
        <v>4585.370715602553</v>
      </c>
      <c r="AG185" s="1">
        <f t="shared" si="130"/>
        <v>405000000</v>
      </c>
      <c r="AH185" s="1">
        <f t="shared" si="145"/>
        <v>405000</v>
      </c>
      <c r="AI185" s="1">
        <f t="shared" si="146"/>
        <v>405405000</v>
      </c>
      <c r="AJ185" s="1">
        <f t="shared" si="147"/>
        <v>28895137438.240334</v>
      </c>
      <c r="AK185" s="1">
        <f t="shared" si="148"/>
        <v>28924032575.678574</v>
      </c>
      <c r="AL185" s="39">
        <f>+AJ185/('Volcano Summary'!C$8)*10^6</f>
        <v>2005.9836019020133</v>
      </c>
      <c r="AM185" s="1">
        <f t="shared" si="131"/>
        <v>4585.370715602553</v>
      </c>
    </row>
    <row r="186" spans="1:39" ht="12.75" hidden="1">
      <c r="A186" s="1">
        <f t="shared" si="149"/>
        <v>1655087.9350466225</v>
      </c>
      <c r="B186" s="1">
        <f t="shared" si="151"/>
        <v>4604.264539847169</v>
      </c>
      <c r="C186" s="1">
        <f t="shared" si="154"/>
        <v>910</v>
      </c>
      <c r="D186" s="12">
        <f t="shared" si="132"/>
        <v>34.03891869182977</v>
      </c>
      <c r="E186" s="38">
        <f t="shared" si="124"/>
        <v>359375315.262621</v>
      </c>
      <c r="F186" s="38">
        <f t="shared" si="125"/>
        <v>231059652.19469848</v>
      </c>
      <c r="G186" s="38">
        <f t="shared" si="126"/>
        <v>102743989.12677602</v>
      </c>
      <c r="H186" s="18">
        <f t="shared" si="133"/>
        <v>0.014689068255273722</v>
      </c>
      <c r="I186" s="50">
        <f t="shared" si="155"/>
        <v>0.04376569245721842</v>
      </c>
      <c r="J186" s="3">
        <f t="shared" si="134"/>
        <v>65.78772437433996</v>
      </c>
      <c r="K186" s="12">
        <f t="shared" si="152"/>
        <v>0.950048083373284</v>
      </c>
      <c r="L186" s="3">
        <f t="shared" si="135"/>
        <v>1501.1513514006106</v>
      </c>
      <c r="M186" s="12">
        <v>0.718</v>
      </c>
      <c r="N186" s="37">
        <f t="shared" si="136"/>
        <v>1287.257912122697</v>
      </c>
      <c r="O186" s="1">
        <f t="shared" si="127"/>
        <v>37145.96792996971</v>
      </c>
      <c r="P186">
        <f t="shared" si="137"/>
        <v>192.73289270378763</v>
      </c>
      <c r="Q186" s="1">
        <f t="shared" si="138"/>
        <v>248.09694105924544</v>
      </c>
      <c r="R186" s="1">
        <f>+Q186*1000/'Material Properties'!AE$35</f>
        <v>212764.56568086118</v>
      </c>
      <c r="S186" s="1">
        <f t="shared" si="139"/>
        <v>233.8072150339134</v>
      </c>
      <c r="T186" s="1">
        <f t="shared" si="140"/>
        <v>74.98538714924553</v>
      </c>
      <c r="U186">
        <f t="shared" si="128"/>
        <v>0.00011303757313815435</v>
      </c>
      <c r="V186">
        <f>+'Material Properties'!AE$31+'Material Properties'!AE$33</f>
        <v>0.00029034311030761144</v>
      </c>
      <c r="W186">
        <f t="shared" si="141"/>
        <v>0.0004033806834457658</v>
      </c>
      <c r="X186" s="1">
        <f>+'Volcano Summary'!E$12*10^9/Q186/3600/24/365</f>
        <v>0</v>
      </c>
      <c r="Y186" s="3">
        <f t="shared" si="142"/>
        <v>10</v>
      </c>
      <c r="Z186" s="1">
        <f>+Y186*'Volcano Summary'!B$19*'Volcano Summary'!B$20/1000</f>
        <v>405000</v>
      </c>
      <c r="AA186" s="1">
        <f t="shared" si="129"/>
        <v>1632426.4147347396</v>
      </c>
      <c r="AB186" s="3">
        <f t="shared" si="153"/>
        <v>453.451781870761</v>
      </c>
      <c r="AC186" s="1">
        <f t="shared" si="143"/>
        <v>397808456.2427953</v>
      </c>
      <c r="AD186" s="36">
        <f t="shared" si="144"/>
        <v>110502.34895633205</v>
      </c>
      <c r="AE186" s="36">
        <f t="shared" si="150"/>
        <v>4604.264539847169</v>
      </c>
      <c r="AG186" s="1">
        <f t="shared" si="130"/>
        <v>405000000.00000006</v>
      </c>
      <c r="AH186" s="1">
        <f t="shared" si="145"/>
        <v>405000</v>
      </c>
      <c r="AI186" s="1">
        <f t="shared" si="146"/>
        <v>405405000.00000006</v>
      </c>
      <c r="AJ186" s="1">
        <f t="shared" si="147"/>
        <v>29300137438.240334</v>
      </c>
      <c r="AK186" s="1">
        <f t="shared" si="148"/>
        <v>29329437575.678574</v>
      </c>
      <c r="AL186" s="39">
        <f>+AJ186/('Volcano Summary'!C$8)*10^6</f>
        <v>2034.0998675022984</v>
      </c>
      <c r="AM186" s="1">
        <f t="shared" si="131"/>
        <v>4604.264539847169</v>
      </c>
    </row>
    <row r="187" spans="1:39" ht="12.75" hidden="1">
      <c r="A187" s="1">
        <f t="shared" si="149"/>
        <v>1632426.4147347396</v>
      </c>
      <c r="B187" s="1">
        <f t="shared" si="151"/>
        <v>4622.902437351621</v>
      </c>
      <c r="C187" s="1">
        <f t="shared" si="154"/>
        <v>920</v>
      </c>
      <c r="D187" s="12">
        <f t="shared" si="132"/>
        <v>34.225434710991614</v>
      </c>
      <c r="E187" s="38">
        <f t="shared" si="124"/>
        <v>361344509.8129727</v>
      </c>
      <c r="F187" s="38">
        <f t="shared" si="125"/>
        <v>232325741.95819676</v>
      </c>
      <c r="G187" s="38">
        <f t="shared" si="126"/>
        <v>103306974.10342081</v>
      </c>
      <c r="H187" s="18">
        <f t="shared" si="133"/>
        <v>0.014609018241028312</v>
      </c>
      <c r="I187" s="50">
        <f t="shared" si="155"/>
        <v>0.04370910168792865</v>
      </c>
      <c r="J187" s="3">
        <f t="shared" si="134"/>
        <v>65.3547063857911</v>
      </c>
      <c r="K187" s="12">
        <f t="shared" si="152"/>
        <v>0.948922236603057</v>
      </c>
      <c r="L187" s="3">
        <f t="shared" si="135"/>
        <v>1499.372424175585</v>
      </c>
      <c r="M187" s="12">
        <v>0.718</v>
      </c>
      <c r="N187" s="37">
        <f t="shared" si="136"/>
        <v>1301.4036034647042</v>
      </c>
      <c r="O187" s="1">
        <f t="shared" si="127"/>
        <v>37347.7732548325</v>
      </c>
      <c r="P187">
        <f t="shared" si="137"/>
        <v>193.25571985023495</v>
      </c>
      <c r="Q187" s="1">
        <f t="shared" si="138"/>
        <v>251.50369020326116</v>
      </c>
      <c r="R187" s="1">
        <f>+Q187*1000/'Material Properties'!AE$35</f>
        <v>215686.14745819176</v>
      </c>
      <c r="S187" s="1">
        <f t="shared" si="139"/>
        <v>234.4414646284693</v>
      </c>
      <c r="T187" s="1">
        <f t="shared" si="140"/>
        <v>76.58458992594137</v>
      </c>
      <c r="U187">
        <f t="shared" si="128"/>
        <v>0.00011070459310939928</v>
      </c>
      <c r="V187">
        <f>+'Material Properties'!AE$31+'Material Properties'!AE$33</f>
        <v>0.00029034311030761144</v>
      </c>
      <c r="W187">
        <f t="shared" si="141"/>
        <v>0.0004010477034170107</v>
      </c>
      <c r="X187" s="1">
        <f>+'Volcano Summary'!E$12*10^9/Q187/3600/24/365</f>
        <v>0</v>
      </c>
      <c r="Y187" s="3">
        <f t="shared" si="142"/>
        <v>10</v>
      </c>
      <c r="Z187" s="1">
        <f>+Y187*'Volcano Summary'!B$19*'Volcano Summary'!B$20/1000</f>
        <v>405000</v>
      </c>
      <c r="AA187" s="1">
        <f t="shared" si="129"/>
        <v>1610314.344384711</v>
      </c>
      <c r="AB187" s="3">
        <f t="shared" si="153"/>
        <v>447.3095401068642</v>
      </c>
      <c r="AC187" s="1">
        <f t="shared" si="143"/>
        <v>399418770.58718</v>
      </c>
      <c r="AD187" s="36">
        <f t="shared" si="144"/>
        <v>110949.65849643892</v>
      </c>
      <c r="AE187" s="36">
        <f t="shared" si="150"/>
        <v>4622.902437351621</v>
      </c>
      <c r="AG187" s="1">
        <f t="shared" si="130"/>
        <v>404999999.99999994</v>
      </c>
      <c r="AH187" s="1">
        <f t="shared" si="145"/>
        <v>405000</v>
      </c>
      <c r="AI187" s="1">
        <f t="shared" si="146"/>
        <v>405404999.99999994</v>
      </c>
      <c r="AJ187" s="1">
        <f t="shared" si="147"/>
        <v>29705137438.240334</v>
      </c>
      <c r="AK187" s="1">
        <f t="shared" si="148"/>
        <v>29734842575.678574</v>
      </c>
      <c r="AL187" s="39">
        <f>+AJ187/('Volcano Summary'!C$8)*10^6</f>
        <v>2062.216133102584</v>
      </c>
      <c r="AM187" s="1">
        <f t="shared" si="131"/>
        <v>4622.902437351621</v>
      </c>
    </row>
    <row r="188" spans="1:39" ht="12.75" hidden="1">
      <c r="A188" s="1">
        <f t="shared" si="149"/>
        <v>1610314.344384711</v>
      </c>
      <c r="B188" s="1">
        <f t="shared" si="151"/>
        <v>4641.290547527251</v>
      </c>
      <c r="C188" s="1">
        <f t="shared" si="154"/>
        <v>930</v>
      </c>
      <c r="D188" s="12">
        <f t="shared" si="132"/>
        <v>34.41093978088511</v>
      </c>
      <c r="E188" s="38">
        <f t="shared" si="124"/>
        <v>363303030.9863197</v>
      </c>
      <c r="F188" s="38">
        <f t="shared" si="125"/>
        <v>233584969.29494032</v>
      </c>
      <c r="G188" s="38">
        <f t="shared" si="126"/>
        <v>103866907.60356086</v>
      </c>
      <c r="H188" s="18">
        <f t="shared" si="133"/>
        <v>0.01453026285198245</v>
      </c>
      <c r="I188" s="50">
        <f t="shared" si="155"/>
        <v>0.04365326652228595</v>
      </c>
      <c r="J188" s="3">
        <f t="shared" si="134"/>
        <v>64.92934369164607</v>
      </c>
      <c r="K188" s="12">
        <f t="shared" si="152"/>
        <v>0.9478162935982799</v>
      </c>
      <c r="L188" s="3">
        <f t="shared" si="135"/>
        <v>1497.6249464791947</v>
      </c>
      <c r="M188" s="12">
        <v>0.718</v>
      </c>
      <c r="N188" s="37">
        <f t="shared" si="136"/>
        <v>1315.549294806712</v>
      </c>
      <c r="O188" s="1">
        <f t="shared" si="127"/>
        <v>37548.631624060035</v>
      </c>
      <c r="P188">
        <f t="shared" si="137"/>
        <v>193.7746929401774</v>
      </c>
      <c r="Q188" s="1">
        <f t="shared" si="138"/>
        <v>254.9201606488375</v>
      </c>
      <c r="R188" s="1">
        <f>+Q188*1000/'Material Properties'!AE$35</f>
        <v>218616.06609165436</v>
      </c>
      <c r="S188" s="1">
        <f t="shared" si="139"/>
        <v>235.0710388082305</v>
      </c>
      <c r="T188" s="1">
        <f t="shared" si="140"/>
        <v>78.15162050696199</v>
      </c>
      <c r="U188">
        <f t="shared" si="128"/>
        <v>0.00010851010953335931</v>
      </c>
      <c r="V188">
        <f>+'Material Properties'!AE$31+'Material Properties'!AE$33</f>
        <v>0.00029034311030761144</v>
      </c>
      <c r="W188">
        <f t="shared" si="141"/>
        <v>0.00039885321984097074</v>
      </c>
      <c r="X188" s="1">
        <f>+'Volcano Summary'!E$12*10^9/Q188/3600/24/365</f>
        <v>0</v>
      </c>
      <c r="Y188" s="3">
        <f t="shared" si="142"/>
        <v>10</v>
      </c>
      <c r="Z188" s="1">
        <f>+Y188*'Volcano Summary'!B$19*'Volcano Summary'!B$20/1000</f>
        <v>405000</v>
      </c>
      <c r="AA188" s="1">
        <f t="shared" si="129"/>
        <v>1588732.7191743904</v>
      </c>
      <c r="AB188" s="3">
        <f t="shared" si="153"/>
        <v>441.31464421510844</v>
      </c>
      <c r="AC188" s="1">
        <f t="shared" si="143"/>
        <v>401007503.3063544</v>
      </c>
      <c r="AD188" s="36">
        <f t="shared" si="144"/>
        <v>111390.97314065402</v>
      </c>
      <c r="AE188" s="36">
        <f t="shared" si="150"/>
        <v>4641.290547527251</v>
      </c>
      <c r="AG188" s="1">
        <f t="shared" si="130"/>
        <v>405000000.00000006</v>
      </c>
      <c r="AH188" s="1">
        <f t="shared" si="145"/>
        <v>405000</v>
      </c>
      <c r="AI188" s="1">
        <f t="shared" si="146"/>
        <v>405405000.00000006</v>
      </c>
      <c r="AJ188" s="1">
        <f t="shared" si="147"/>
        <v>30110137438.240334</v>
      </c>
      <c r="AK188" s="1">
        <f t="shared" si="148"/>
        <v>30140247575.678574</v>
      </c>
      <c r="AL188" s="39">
        <f>+AJ188/('Volcano Summary'!C$8)*10^6</f>
        <v>2090.3323987028693</v>
      </c>
      <c r="AM188" s="1">
        <f t="shared" si="131"/>
        <v>4641.290547527251</v>
      </c>
    </row>
    <row r="189" spans="1:39" ht="12.75" hidden="1">
      <c r="A189" s="1">
        <f t="shared" si="149"/>
        <v>1588732.7191743904</v>
      </c>
      <c r="B189" s="1">
        <f t="shared" si="151"/>
        <v>4659.434799661555</v>
      </c>
      <c r="C189" s="1">
        <f t="shared" si="154"/>
        <v>940</v>
      </c>
      <c r="D189" s="12">
        <f t="shared" si="132"/>
        <v>34.595450164018</v>
      </c>
      <c r="E189" s="38">
        <f t="shared" si="124"/>
        <v>365251050.47859365</v>
      </c>
      <c r="F189" s="38">
        <f t="shared" si="125"/>
        <v>234837444.59649062</v>
      </c>
      <c r="G189" s="38">
        <f t="shared" si="126"/>
        <v>104423838.71438764</v>
      </c>
      <c r="H189" s="18">
        <f t="shared" si="133"/>
        <v>0.014452767564216856</v>
      </c>
      <c r="I189" s="50">
        <f t="shared" si="155"/>
        <v>0.04359816872871058</v>
      </c>
      <c r="J189" s="3">
        <f t="shared" si="134"/>
        <v>64.51141988615619</v>
      </c>
      <c r="K189" s="12">
        <f t="shared" si="152"/>
        <v>0.9467296917040061</v>
      </c>
      <c r="L189" s="3">
        <f t="shared" si="135"/>
        <v>1495.9080292719814</v>
      </c>
      <c r="M189" s="12">
        <v>0.718</v>
      </c>
      <c r="N189" s="37">
        <f t="shared" si="136"/>
        <v>1329.6949861487196</v>
      </c>
      <c r="O189" s="1">
        <f t="shared" si="127"/>
        <v>37748.55699535583</v>
      </c>
      <c r="P189">
        <f t="shared" si="137"/>
        <v>194.28987877744902</v>
      </c>
      <c r="Q189" s="1">
        <f t="shared" si="138"/>
        <v>258.34627766981646</v>
      </c>
      <c r="R189" s="1">
        <f>+Q189*1000/'Material Properties'!AE$35</f>
        <v>221554.2574971111</v>
      </c>
      <c r="S189" s="1">
        <f t="shared" si="139"/>
        <v>235.69601861394798</v>
      </c>
      <c r="T189" s="1">
        <f t="shared" si="140"/>
        <v>79.68748190177098</v>
      </c>
      <c r="U189">
        <f t="shared" si="128"/>
        <v>0.00010644208998186221</v>
      </c>
      <c r="V189">
        <f>+'Material Properties'!AE$31+'Material Properties'!AE$33</f>
        <v>0.00029034311030761144</v>
      </c>
      <c r="W189">
        <f t="shared" si="141"/>
        <v>0.0003967852002894737</v>
      </c>
      <c r="X189" s="1">
        <f>+'Volcano Summary'!E$12*10^9/Q189/3600/24/365</f>
        <v>0</v>
      </c>
      <c r="Y189" s="3">
        <f t="shared" si="142"/>
        <v>10</v>
      </c>
      <c r="Z189" s="1">
        <f>+Y189*'Volcano Summary'!B$19*'Volcano Summary'!B$20/1000</f>
        <v>405000</v>
      </c>
      <c r="AA189" s="1">
        <f t="shared" si="129"/>
        <v>1567663.3844038453</v>
      </c>
      <c r="AB189" s="3">
        <f t="shared" si="153"/>
        <v>435.46205122329036</v>
      </c>
      <c r="AC189" s="1">
        <f t="shared" si="143"/>
        <v>402575166.6907582</v>
      </c>
      <c r="AD189" s="36">
        <f t="shared" si="144"/>
        <v>111826.43519187732</v>
      </c>
      <c r="AE189" s="36">
        <f t="shared" si="150"/>
        <v>4659.434799661555</v>
      </c>
      <c r="AG189" s="1">
        <f t="shared" si="130"/>
        <v>405000000.00000006</v>
      </c>
      <c r="AH189" s="1">
        <f t="shared" si="145"/>
        <v>405000</v>
      </c>
      <c r="AI189" s="1">
        <f t="shared" si="146"/>
        <v>405405000.00000006</v>
      </c>
      <c r="AJ189" s="1">
        <f t="shared" si="147"/>
        <v>30515137438.240334</v>
      </c>
      <c r="AK189" s="1">
        <f t="shared" si="148"/>
        <v>30545652575.678574</v>
      </c>
      <c r="AL189" s="39">
        <f>+AJ189/('Volcano Summary'!C$8)*10^6</f>
        <v>2118.4486643031546</v>
      </c>
      <c r="AM189" s="1">
        <f t="shared" si="131"/>
        <v>4659.434799661555</v>
      </c>
    </row>
    <row r="190" spans="1:39" ht="12.75" hidden="1">
      <c r="A190" s="1">
        <f t="shared" si="149"/>
        <v>1567663.3844038453</v>
      </c>
      <c r="B190" s="1">
        <f t="shared" si="151"/>
        <v>4677.340922219573</v>
      </c>
      <c r="C190" s="1">
        <f t="shared" si="154"/>
        <v>950</v>
      </c>
      <c r="D190" s="12">
        <f t="shared" si="132"/>
        <v>34.77898169151024</v>
      </c>
      <c r="E190" s="38">
        <f t="shared" si="124"/>
        <v>367188735.4312296</v>
      </c>
      <c r="F190" s="38">
        <f t="shared" si="125"/>
        <v>236083275.3261048</v>
      </c>
      <c r="G190" s="38">
        <f t="shared" si="126"/>
        <v>104977815.2209801</v>
      </c>
      <c r="H190" s="18">
        <f t="shared" si="133"/>
        <v>0.014376499129129276</v>
      </c>
      <c r="I190" s="50">
        <f t="shared" si="155"/>
        <v>0.043543790706258</v>
      </c>
      <c r="J190" s="3">
        <f t="shared" si="134"/>
        <v>64.10072691675057</v>
      </c>
      <c r="K190" s="12">
        <f t="shared" si="152"/>
        <v>0.9456618899835516</v>
      </c>
      <c r="L190" s="3">
        <f t="shared" si="135"/>
        <v>1494.2208178310648</v>
      </c>
      <c r="M190" s="12">
        <v>0.718</v>
      </c>
      <c r="N190" s="37">
        <f t="shared" si="136"/>
        <v>1343.8406774907276</v>
      </c>
      <c r="O190" s="1">
        <f t="shared" si="127"/>
        <v>37947.562975961206</v>
      </c>
      <c r="P190">
        <f t="shared" si="137"/>
        <v>194.80134233613794</v>
      </c>
      <c r="Q190" s="1">
        <f t="shared" si="138"/>
        <v>261.78196786109874</v>
      </c>
      <c r="R190" s="1">
        <f>+Q190*1000/'Material Properties'!AE$35</f>
        <v>224500.65872334634</v>
      </c>
      <c r="S190" s="1">
        <f t="shared" si="139"/>
        <v>236.31648286668036</v>
      </c>
      <c r="T190" s="1">
        <f t="shared" si="140"/>
        <v>81.19313518817194</v>
      </c>
      <c r="U190">
        <f t="shared" si="128"/>
        <v>0.00010448985752996203</v>
      </c>
      <c r="V190">
        <f>+'Material Properties'!AE$31+'Material Properties'!AE$33</f>
        <v>0.00029034311030761144</v>
      </c>
      <c r="W190">
        <f t="shared" si="141"/>
        <v>0.00039483296783757345</v>
      </c>
      <c r="X190" s="1">
        <f>+'Volcano Summary'!E$12*10^9/Q190/3600/24/365</f>
        <v>0</v>
      </c>
      <c r="Y190" s="3">
        <f t="shared" si="142"/>
        <v>10</v>
      </c>
      <c r="Z190" s="1">
        <f>+Y190*'Volcano Summary'!B$19*'Volcano Summary'!B$20/1000</f>
        <v>405000</v>
      </c>
      <c r="AA190" s="1">
        <f t="shared" si="129"/>
        <v>1547088.9890127673</v>
      </c>
      <c r="AB190" s="3">
        <f t="shared" si="153"/>
        <v>429.74694139243536</v>
      </c>
      <c r="AC190" s="1">
        <f t="shared" si="143"/>
        <v>404122255.679771</v>
      </c>
      <c r="AD190" s="36">
        <f t="shared" si="144"/>
        <v>112256.18213326976</v>
      </c>
      <c r="AE190" s="36">
        <f t="shared" si="150"/>
        <v>4677.340922219573</v>
      </c>
      <c r="AG190" s="1">
        <f t="shared" si="130"/>
        <v>405000000</v>
      </c>
      <c r="AH190" s="1">
        <f t="shared" si="145"/>
        <v>405000</v>
      </c>
      <c r="AI190" s="1">
        <f t="shared" si="146"/>
        <v>405405000</v>
      </c>
      <c r="AJ190" s="1">
        <f t="shared" si="147"/>
        <v>30920137438.240334</v>
      </c>
      <c r="AK190" s="1">
        <f t="shared" si="148"/>
        <v>30951057575.678574</v>
      </c>
      <c r="AL190" s="39">
        <f>+AJ190/('Volcano Summary'!C$8)*10^6</f>
        <v>2146.56492990344</v>
      </c>
      <c r="AM190" s="1">
        <f t="shared" si="131"/>
        <v>4677.340922219573</v>
      </c>
    </row>
    <row r="191" spans="1:39" ht="12.75" hidden="1">
      <c r="A191" s="1">
        <f t="shared" si="149"/>
        <v>1547088.9890127673</v>
      </c>
      <c r="B191" s="1">
        <f t="shared" si="151"/>
        <v>4695.014451641942</v>
      </c>
      <c r="C191" s="1">
        <f t="shared" si="154"/>
        <v>960</v>
      </c>
      <c r="D191" s="12">
        <f t="shared" si="132"/>
        <v>34.961549778946534</v>
      </c>
      <c r="E191" s="38">
        <f t="shared" si="124"/>
        <v>369116248.59853417</v>
      </c>
      <c r="F191" s="38">
        <f t="shared" si="125"/>
        <v>237322566.1263442</v>
      </c>
      <c r="G191" s="38">
        <f t="shared" si="126"/>
        <v>105528883.6541543</v>
      </c>
      <c r="H191" s="18">
        <f t="shared" si="133"/>
        <v>0.014301425513496389</v>
      </c>
      <c r="I191" s="50">
        <f t="shared" si="155"/>
        <v>0.043490115456368744</v>
      </c>
      <c r="J191" s="3">
        <f t="shared" si="134"/>
        <v>63.697064677261565</v>
      </c>
      <c r="K191" s="12">
        <f t="shared" si="152"/>
        <v>0.9446123681608801</v>
      </c>
      <c r="L191" s="3">
        <f t="shared" si="135"/>
        <v>1492.5624900790276</v>
      </c>
      <c r="M191" s="12">
        <v>0.718</v>
      </c>
      <c r="N191" s="37">
        <f t="shared" si="136"/>
        <v>1357.9863688327357</v>
      </c>
      <c r="O191" s="1">
        <f t="shared" si="127"/>
        <v>38145.66283502441</v>
      </c>
      <c r="P191">
        <f t="shared" si="137"/>
        <v>195.30914682887845</v>
      </c>
      <c r="Q191" s="1">
        <f t="shared" si="138"/>
        <v>265.22715910196825</v>
      </c>
      <c r="R191" s="1">
        <f>+Q191*1000/'Material Properties'!AE$35</f>
        <v>227455.20792061384</v>
      </c>
      <c r="S191" s="1">
        <f t="shared" si="139"/>
        <v>236.93250825063942</v>
      </c>
      <c r="T191" s="1">
        <f t="shared" si="140"/>
        <v>82.6695016973772</v>
      </c>
      <c r="U191">
        <f t="shared" si="128"/>
        <v>0.00010264390508229168</v>
      </c>
      <c r="V191">
        <f>+'Material Properties'!AE$31+'Material Properties'!AE$33</f>
        <v>0.00029034311030761144</v>
      </c>
      <c r="W191">
        <f t="shared" si="141"/>
        <v>0.00039298701538990313</v>
      </c>
      <c r="X191" s="1">
        <f>+'Volcano Summary'!E$12*10^9/Q191/3600/24/365</f>
        <v>0</v>
      </c>
      <c r="Y191" s="3">
        <f t="shared" si="142"/>
        <v>10</v>
      </c>
      <c r="Z191" s="1">
        <f>+Y191*'Volcano Summary'!B$19*'Volcano Summary'!B$20/1000</f>
        <v>405000</v>
      </c>
      <c r="AA191" s="1">
        <f t="shared" si="129"/>
        <v>1526992.942092688</v>
      </c>
      <c r="AB191" s="3">
        <f t="shared" si="153"/>
        <v>424.1647061368578</v>
      </c>
      <c r="AC191" s="1">
        <f t="shared" si="143"/>
        <v>405649248.6218637</v>
      </c>
      <c r="AD191" s="36">
        <f t="shared" si="144"/>
        <v>112680.34683940661</v>
      </c>
      <c r="AE191" s="36">
        <f t="shared" si="150"/>
        <v>4695.014451641942</v>
      </c>
      <c r="AG191" s="1">
        <f t="shared" si="130"/>
        <v>405000000</v>
      </c>
      <c r="AH191" s="1">
        <f t="shared" si="145"/>
        <v>405000</v>
      </c>
      <c r="AI191" s="1">
        <f t="shared" si="146"/>
        <v>405405000</v>
      </c>
      <c r="AJ191" s="1">
        <f t="shared" si="147"/>
        <v>31325137438.240334</v>
      </c>
      <c r="AK191" s="1">
        <f t="shared" si="148"/>
        <v>31356462575.678574</v>
      </c>
      <c r="AL191" s="39">
        <f>+AJ191/('Volcano Summary'!C$8)*10^6</f>
        <v>2174.6811955037256</v>
      </c>
      <c r="AM191" s="1">
        <f t="shared" si="131"/>
        <v>4695.014451641942</v>
      </c>
    </row>
    <row r="192" spans="1:39" ht="12.75" hidden="1">
      <c r="A192" s="1">
        <f t="shared" si="149"/>
        <v>1526992.942092688</v>
      </c>
      <c r="B192" s="1">
        <f t="shared" si="151"/>
        <v>4712.460740671716</v>
      </c>
      <c r="C192" s="1">
        <f t="shared" si="154"/>
        <v>970</v>
      </c>
      <c r="D192" s="12">
        <f t="shared" si="132"/>
        <v>35.1431694414876</v>
      </c>
      <c r="E192" s="38">
        <f t="shared" si="124"/>
        <v>371033748.507227</v>
      </c>
      <c r="F192" s="38">
        <f t="shared" si="125"/>
        <v>238555418.92165142</v>
      </c>
      <c r="G192" s="38">
        <f t="shared" si="126"/>
        <v>106077089.33607589</v>
      </c>
      <c r="H192" s="18">
        <f t="shared" si="133"/>
        <v>0.014227515842943139</v>
      </c>
      <c r="I192" s="50">
        <f t="shared" si="155"/>
        <v>0.043437126556165676</v>
      </c>
      <c r="J192" s="3">
        <f t="shared" si="134"/>
        <v>63.30024062497733</v>
      </c>
      <c r="K192" s="12">
        <f t="shared" si="152"/>
        <v>0.9435806256249412</v>
      </c>
      <c r="L192" s="3">
        <f t="shared" si="135"/>
        <v>1490.9322550106897</v>
      </c>
      <c r="M192" s="12">
        <v>0.718</v>
      </c>
      <c r="N192" s="37">
        <f t="shared" si="136"/>
        <v>1372.1320601747432</v>
      </c>
      <c r="O192" s="1">
        <f t="shared" si="127"/>
        <v>38342.86951540963</v>
      </c>
      <c r="P192">
        <f t="shared" si="137"/>
        <v>195.81335377192647</v>
      </c>
      <c r="Q192" s="1">
        <f t="shared" si="138"/>
        <v>268.6817805207993</v>
      </c>
      <c r="R192" s="1">
        <f>+Q192*1000/'Material Properties'!AE$35</f>
        <v>230417.84431037027</v>
      </c>
      <c r="S192" s="1">
        <f t="shared" si="139"/>
        <v>237.5441693921343</v>
      </c>
      <c r="T192" s="1">
        <f t="shared" si="140"/>
        <v>84.11746506329882</v>
      </c>
      <c r="U192">
        <f t="shared" si="128"/>
        <v>0.00010089573940617281</v>
      </c>
      <c r="V192">
        <f>+'Material Properties'!AE$31+'Material Properties'!AE$33</f>
        <v>0.00029034311030761144</v>
      </c>
      <c r="W192">
        <f t="shared" si="141"/>
        <v>0.0003912388497137843</v>
      </c>
      <c r="X192" s="1">
        <f>+'Volcano Summary'!E$12*10^9/Q192/3600/24/365</f>
        <v>0</v>
      </c>
      <c r="Y192" s="3">
        <f t="shared" si="142"/>
        <v>10</v>
      </c>
      <c r="Z192" s="1">
        <f>+Y192*'Volcano Summary'!B$19*'Volcano Summary'!B$20/1000</f>
        <v>405000</v>
      </c>
      <c r="AA192" s="1">
        <f t="shared" si="129"/>
        <v>1507359.3721724201</v>
      </c>
      <c r="AB192" s="3">
        <f t="shared" si="153"/>
        <v>418.71093671456117</v>
      </c>
      <c r="AC192" s="1">
        <f t="shared" si="143"/>
        <v>407156607.99403614</v>
      </c>
      <c r="AD192" s="36">
        <f t="shared" si="144"/>
        <v>113099.05777612118</v>
      </c>
      <c r="AE192" s="36">
        <f t="shared" si="150"/>
        <v>4712.460740671716</v>
      </c>
      <c r="AG192" s="1">
        <f t="shared" si="130"/>
        <v>405000000</v>
      </c>
      <c r="AH192" s="1">
        <f t="shared" si="145"/>
        <v>405000</v>
      </c>
      <c r="AI192" s="1">
        <f t="shared" si="146"/>
        <v>405405000</v>
      </c>
      <c r="AJ192" s="1">
        <f t="shared" si="147"/>
        <v>31730137438.240334</v>
      </c>
      <c r="AK192" s="1">
        <f t="shared" si="148"/>
        <v>31761867575.678574</v>
      </c>
      <c r="AL192" s="39">
        <f>+AJ192/('Volcano Summary'!C$8)*10^6</f>
        <v>2202.797461104011</v>
      </c>
      <c r="AM192" s="1">
        <f t="shared" si="131"/>
        <v>4712.460740671716</v>
      </c>
    </row>
    <row r="193" spans="1:39" ht="12.75" hidden="1">
      <c r="A193" s="1">
        <f t="shared" si="149"/>
        <v>1507359.3721724201</v>
      </c>
      <c r="B193" s="1">
        <f t="shared" si="151"/>
        <v>4728.882242909617</v>
      </c>
      <c r="C193" s="1">
        <f t="shared" si="154"/>
        <v>980</v>
      </c>
      <c r="D193" s="12">
        <f t="shared" si="132"/>
        <v>35.32385530828224</v>
      </c>
      <c r="E193" s="38">
        <f t="shared" si="124"/>
        <v>372941389.60859984</v>
      </c>
      <c r="F193" s="38">
        <f t="shared" si="125"/>
        <v>239781933.01618072</v>
      </c>
      <c r="G193" s="38">
        <f t="shared" si="126"/>
        <v>106622476.42376165</v>
      </c>
      <c r="H193" s="18">
        <f t="shared" si="133"/>
        <v>0.014154740348592897</v>
      </c>
      <c r="I193" s="50">
        <f t="shared" si="155"/>
        <v>0.04338480813319858</v>
      </c>
      <c r="J193" s="3">
        <f t="shared" si="134"/>
        <v>62.910069419894725</v>
      </c>
      <c r="K193" s="12">
        <f aca="true" t="shared" si="156" ref="K193:K226">0.831-(20-J193)/5*(0.831-0.807)</f>
        <v>1.0369683332154938</v>
      </c>
      <c r="L193" s="3">
        <f t="shared" si="135"/>
        <v>1638.4922426652108</v>
      </c>
      <c r="M193" s="12">
        <v>0.718</v>
      </c>
      <c r="N193" s="37">
        <f t="shared" si="136"/>
        <v>1386.2777515167504</v>
      </c>
      <c r="O193" s="1">
        <f t="shared" si="127"/>
        <v>42399.065761715254</v>
      </c>
      <c r="P193">
        <f t="shared" si="137"/>
        <v>205.9103342761486</v>
      </c>
      <c r="Q193" s="1">
        <f t="shared" si="138"/>
        <v>285.4489152144017</v>
      </c>
      <c r="R193" s="1">
        <f>+Q193*1000/'Material Properties'!AE$35</f>
        <v>244797.1112032455</v>
      </c>
      <c r="S193" s="1">
        <f t="shared" si="139"/>
        <v>249.79297061555664</v>
      </c>
      <c r="T193" s="1">
        <f t="shared" si="140"/>
        <v>-60.57232719784906</v>
      </c>
      <c r="U193">
        <f t="shared" si="128"/>
        <v>-0.00014375004969320514</v>
      </c>
      <c r="V193">
        <f>+'Material Properties'!AE$31+'Material Properties'!AE$33</f>
        <v>0.00029034311030761144</v>
      </c>
      <c r="W193">
        <f t="shared" si="141"/>
        <v>0.0001465930606144063</v>
      </c>
      <c r="X193" s="1">
        <f>+'Volcano Summary'!E$12*10^9/Q193/3600/24/365</f>
        <v>0</v>
      </c>
      <c r="Y193" s="3">
        <f t="shared" si="142"/>
        <v>10</v>
      </c>
      <c r="Z193" s="1">
        <f>+Y193*'Volcano Summary'!B$19*'Volcano Summary'!B$20/1000</f>
        <v>405000</v>
      </c>
      <c r="AA193" s="1">
        <f t="shared" si="129"/>
        <v>1418817.7933547338</v>
      </c>
      <c r="AB193" s="3">
        <f t="shared" si="153"/>
        <v>394.11605370964827</v>
      </c>
      <c r="AC193" s="1">
        <f t="shared" si="143"/>
        <v>408575425.7873909</v>
      </c>
      <c r="AD193" s="36">
        <f t="shared" si="144"/>
        <v>113493.17382983082</v>
      </c>
      <c r="AE193" s="36">
        <f t="shared" si="150"/>
        <v>4728.882242909617</v>
      </c>
      <c r="AG193" s="1">
        <f t="shared" si="130"/>
        <v>404999999.99999994</v>
      </c>
      <c r="AH193" s="1">
        <f t="shared" si="145"/>
        <v>405000</v>
      </c>
      <c r="AI193" s="1">
        <f t="shared" si="146"/>
        <v>405404999.99999994</v>
      </c>
      <c r="AJ193" s="1">
        <f t="shared" si="147"/>
        <v>32135137438.240334</v>
      </c>
      <c r="AK193" s="1">
        <f t="shared" si="148"/>
        <v>32167272575.678574</v>
      </c>
      <c r="AL193" s="39">
        <f>+AJ193/('Volcano Summary'!C$8)*10^6</f>
        <v>2230.913726704296</v>
      </c>
      <c r="AM193" s="1">
        <f t="shared" si="131"/>
        <v>4728.882242909617</v>
      </c>
    </row>
    <row r="194" spans="1:39" ht="12.75" hidden="1">
      <c r="A194" s="1">
        <f t="shared" si="149"/>
        <v>1418817.7933547338</v>
      </c>
      <c r="B194" s="1">
        <f t="shared" si="151"/>
        <v>4745.1026337595495</v>
      </c>
      <c r="C194" s="1">
        <f>+C193+10</f>
        <v>990</v>
      </c>
      <c r="D194" s="12">
        <f t="shared" si="132"/>
        <v>35.50362163621919</v>
      </c>
      <c r="E194" s="38">
        <f t="shared" si="124"/>
        <v>374839322.42370564</v>
      </c>
      <c r="F194" s="38">
        <f t="shared" si="125"/>
        <v>241002205.1871471</v>
      </c>
      <c r="G194" s="38">
        <f t="shared" si="126"/>
        <v>107165087.95058866</v>
      </c>
      <c r="H194" s="18">
        <f t="shared" si="133"/>
        <v>0.014083070316689119</v>
      </c>
      <c r="I194" s="50">
        <f t="shared" si="155"/>
        <v>0.04333314484154372</v>
      </c>
      <c r="J194" s="3">
        <f t="shared" si="134"/>
        <v>62.52637258467345</v>
      </c>
      <c r="K194" s="12">
        <f t="shared" si="156"/>
        <v>1.0351265884064318</v>
      </c>
      <c r="L194" s="3">
        <f t="shared" si="135"/>
        <v>1635.5821397373234</v>
      </c>
      <c r="M194" s="12">
        <v>0.718</v>
      </c>
      <c r="N194" s="37">
        <f t="shared" si="136"/>
        <v>1400.423442858758</v>
      </c>
      <c r="O194" s="1">
        <f t="shared" si="127"/>
        <v>42583.48367988299</v>
      </c>
      <c r="P194">
        <f t="shared" si="137"/>
        <v>206.35765961040312</v>
      </c>
      <c r="Q194" s="1">
        <f t="shared" si="138"/>
        <v>288.9881041318764</v>
      </c>
      <c r="R194" s="1">
        <f>+Q194*1000/'Material Properties'!AE$35</f>
        <v>247832.27153079346</v>
      </c>
      <c r="S194" s="1">
        <f t="shared" si="139"/>
        <v>250.33562780888226</v>
      </c>
      <c r="T194" s="1">
        <f t="shared" si="140"/>
        <v>-57.45242062746388</v>
      </c>
      <c r="U194">
        <f t="shared" si="128"/>
        <v>-0.0001516805099556475</v>
      </c>
      <c r="V194">
        <f>+'Material Properties'!AE$31+'Material Properties'!AE$33</f>
        <v>0.00029034311030761144</v>
      </c>
      <c r="W194">
        <f t="shared" si="141"/>
        <v>0.00013866260035196395</v>
      </c>
      <c r="X194" s="1">
        <f>+'Volcano Summary'!E$12*10^9/Q194/3600/24/365</f>
        <v>0</v>
      </c>
      <c r="Y194" s="3">
        <f t="shared" si="142"/>
        <v>10</v>
      </c>
      <c r="Z194" s="1">
        <f>+Y194*'Volcano Summary'!B$19*'Volcano Summary'!B$20/1000</f>
        <v>405000</v>
      </c>
      <c r="AA194" s="1">
        <f t="shared" si="129"/>
        <v>1401441.7694341594</v>
      </c>
      <c r="AB194" s="3">
        <f t="shared" si="153"/>
        <v>389.2893803983776</v>
      </c>
      <c r="AC194" s="1">
        <f t="shared" si="143"/>
        <v>409976867.55682504</v>
      </c>
      <c r="AD194" s="36">
        <f t="shared" si="144"/>
        <v>113882.4632102292</v>
      </c>
      <c r="AE194" s="36">
        <f t="shared" si="150"/>
        <v>4745.1026337595495</v>
      </c>
      <c r="AG194" s="1">
        <f t="shared" si="130"/>
        <v>405000000</v>
      </c>
      <c r="AH194" s="1">
        <f t="shared" si="145"/>
        <v>405000</v>
      </c>
      <c r="AI194" s="1">
        <f t="shared" si="146"/>
        <v>405405000</v>
      </c>
      <c r="AJ194" s="1">
        <f t="shared" si="147"/>
        <v>32540137438.240334</v>
      </c>
      <c r="AK194" s="1">
        <f t="shared" si="148"/>
        <v>32572677575.678574</v>
      </c>
      <c r="AL194" s="39">
        <f>+AJ194/('Volcano Summary'!C$8)*10^6</f>
        <v>2259.0299923045814</v>
      </c>
      <c r="AM194" s="1">
        <f t="shared" si="131"/>
        <v>4745.1026337595495</v>
      </c>
    </row>
    <row r="195" spans="1:39" ht="12.75" hidden="1">
      <c r="A195" s="1">
        <f t="shared" si="149"/>
        <v>1401441.7694341594</v>
      </c>
      <c r="B195" s="1">
        <f t="shared" si="151"/>
        <v>4777.149991579724</v>
      </c>
      <c r="C195" s="1">
        <f>+C25*10</f>
        <v>1000</v>
      </c>
      <c r="D195" s="12">
        <f t="shared" si="132"/>
        <v>35.682482323055424</v>
      </c>
      <c r="E195" s="38">
        <f t="shared" si="124"/>
        <v>376727693.6819645</v>
      </c>
      <c r="F195" s="38">
        <f t="shared" si="125"/>
        <v>242216329.77394277</v>
      </c>
      <c r="G195" s="38">
        <f t="shared" si="126"/>
        <v>107704965.86592096</v>
      </c>
      <c r="H195" s="18">
        <f t="shared" si="133"/>
        <v>0.01401247804099482</v>
      </c>
      <c r="I195" s="50">
        <f t="shared" si="155"/>
        <v>0.0432821218391728</v>
      </c>
      <c r="J195" s="3">
        <f t="shared" si="134"/>
        <v>62.14897818390712</v>
      </c>
      <c r="K195" s="12">
        <f t="shared" si="156"/>
        <v>1.0333150952827534</v>
      </c>
      <c r="L195" s="3">
        <f t="shared" si="135"/>
        <v>1632.7198368726017</v>
      </c>
      <c r="M195" s="12">
        <v>0.718</v>
      </c>
      <c r="N195" s="37">
        <f t="shared" si="136"/>
        <v>1414.569134200766</v>
      </c>
      <c r="O195" s="1">
        <f t="shared" si="127"/>
        <v>42767.0937609037</v>
      </c>
      <c r="P195">
        <f t="shared" si="137"/>
        <v>206.80206420851727</v>
      </c>
      <c r="Q195" s="1">
        <f t="shared" si="138"/>
        <v>292.53581691837354</v>
      </c>
      <c r="R195" s="1">
        <f>+Q195*1000/'Material Properties'!AE$35</f>
        <v>250874.74181259848</v>
      </c>
      <c r="S195" s="1">
        <f t="shared" si="139"/>
        <v>250.87474181259847</v>
      </c>
      <c r="T195" s="1">
        <f t="shared" si="140"/>
        <v>-54.394216935452505</v>
      </c>
      <c r="U195">
        <f t="shared" si="128"/>
        <v>-0.00016035191262543975</v>
      </c>
      <c r="V195">
        <f>+'Material Properties'!AE$31+'Material Properties'!AE$33</f>
        <v>0.00029034311030761144</v>
      </c>
      <c r="W195">
        <f t="shared" si="141"/>
        <v>0.0001299911976821717</v>
      </c>
      <c r="X195" s="1">
        <f>+'Volcano Summary'!E$12*10^9/Q195/3600/24/365</f>
        <v>0</v>
      </c>
      <c r="Y195" s="3">
        <f t="shared" si="142"/>
        <v>20</v>
      </c>
      <c r="Z195" s="1">
        <f>+Y195*'Volcano Summary'!B$19*'Volcano Summary'!B$20/1000</f>
        <v>810000</v>
      </c>
      <c r="AA195" s="1">
        <f t="shared" si="129"/>
        <v>2768891.715663025</v>
      </c>
      <c r="AB195" s="3">
        <f t="shared" si="153"/>
        <v>769.1365876841736</v>
      </c>
      <c r="AC195" s="1">
        <f t="shared" si="143"/>
        <v>412745759.27248806</v>
      </c>
      <c r="AD195" s="36">
        <f t="shared" si="144"/>
        <v>114651.59979791337</v>
      </c>
      <c r="AE195" s="36">
        <f t="shared" si="150"/>
        <v>4777.149991579724</v>
      </c>
      <c r="AG195" s="1">
        <f t="shared" si="130"/>
        <v>809999999.9999999</v>
      </c>
      <c r="AH195" s="1">
        <f t="shared" si="145"/>
        <v>810000</v>
      </c>
      <c r="AI195" s="1">
        <f t="shared" si="146"/>
        <v>810809999.9999999</v>
      </c>
      <c r="AJ195" s="1">
        <f t="shared" si="147"/>
        <v>33350137438.240334</v>
      </c>
      <c r="AK195" s="1">
        <f t="shared" si="148"/>
        <v>33383487575.678574</v>
      </c>
      <c r="AL195" s="39">
        <f>+AJ195/('Volcano Summary'!C$8)*10^6</f>
        <v>2315.2625235051523</v>
      </c>
      <c r="AM195" s="1">
        <f t="shared" si="131"/>
        <v>4777.149991579724</v>
      </c>
    </row>
    <row r="196" spans="1:39" ht="12.75" hidden="1">
      <c r="A196" s="1">
        <f t="shared" si="149"/>
        <v>2768891.715663025</v>
      </c>
      <c r="B196" s="1">
        <f t="shared" si="151"/>
        <v>4808.435805553351</v>
      </c>
      <c r="C196" s="1">
        <f aca="true" t="shared" si="157" ref="C196:C259">+C26*10</f>
        <v>1020</v>
      </c>
      <c r="D196" s="12">
        <f t="shared" si="132"/>
        <v>36.03754064347158</v>
      </c>
      <c r="E196" s="38">
        <f t="shared" si="124"/>
        <v>380476320.2758756</v>
      </c>
      <c r="F196" s="38">
        <f t="shared" si="125"/>
        <v>244626501.87038723</v>
      </c>
      <c r="G196" s="38">
        <f t="shared" si="126"/>
        <v>108776683.46489877</v>
      </c>
      <c r="H196" s="18">
        <f t="shared" si="133"/>
        <v>0.013874420703305626</v>
      </c>
      <c r="I196" s="50">
        <f t="shared" si="155"/>
        <v>0.04318193972611519</v>
      </c>
      <c r="J196" s="3">
        <f t="shared" si="134"/>
        <v>61.41243985449082</v>
      </c>
      <c r="K196" s="12">
        <f t="shared" si="156"/>
        <v>1.0297797113015552</v>
      </c>
      <c r="L196" s="3">
        <f t="shared" si="135"/>
        <v>1627.1336496743158</v>
      </c>
      <c r="M196" s="12">
        <v>0.718</v>
      </c>
      <c r="N196" s="37">
        <f t="shared" si="136"/>
        <v>1442.860516884781</v>
      </c>
      <c r="O196" s="1">
        <f t="shared" si="127"/>
        <v>43131.934481308774</v>
      </c>
      <c r="P196">
        <f t="shared" si="137"/>
        <v>207.6822921707789</v>
      </c>
      <c r="Q196" s="1">
        <f t="shared" si="138"/>
        <v>299.65657942934615</v>
      </c>
      <c r="R196" s="1">
        <f>+Q196*1000/'Material Properties'!AE$35</f>
        <v>256981.4109899579</v>
      </c>
      <c r="S196" s="1">
        <f t="shared" si="139"/>
        <v>251.94255979407637</v>
      </c>
      <c r="T196" s="1">
        <f t="shared" si="140"/>
        <v>-48.45557033634691</v>
      </c>
      <c r="U196">
        <f t="shared" si="128"/>
        <v>-0.00018037634580620046</v>
      </c>
      <c r="V196">
        <f>+'Material Properties'!AE$31+'Material Properties'!AE$33</f>
        <v>0.00029034311030761144</v>
      </c>
      <c r="W196">
        <f t="shared" si="141"/>
        <v>0.00010996676450141099</v>
      </c>
      <c r="X196" s="1">
        <f>+'Volcano Summary'!E$12*10^9/Q196/3600/24/365</f>
        <v>0</v>
      </c>
      <c r="Y196" s="3">
        <f t="shared" si="142"/>
        <v>20</v>
      </c>
      <c r="Z196" s="1">
        <f>+Y196*'Volcano Summary'!B$19*'Volcano Summary'!B$20/1000</f>
        <v>810000</v>
      </c>
      <c r="AA196" s="1">
        <f t="shared" si="129"/>
        <v>2703094.3273213995</v>
      </c>
      <c r="AB196" s="3">
        <f t="shared" si="153"/>
        <v>750.8595353670554</v>
      </c>
      <c r="AC196" s="1">
        <f t="shared" si="143"/>
        <v>415448853.59980947</v>
      </c>
      <c r="AD196" s="36">
        <f t="shared" si="144"/>
        <v>115402.45933328042</v>
      </c>
      <c r="AE196" s="36">
        <f t="shared" si="150"/>
        <v>4808.435805553351</v>
      </c>
      <c r="AG196" s="1">
        <f t="shared" si="130"/>
        <v>810000000</v>
      </c>
      <c r="AH196" s="1">
        <f t="shared" si="145"/>
        <v>810000</v>
      </c>
      <c r="AI196" s="1">
        <f t="shared" si="146"/>
        <v>810810000</v>
      </c>
      <c r="AJ196" s="1">
        <f t="shared" si="147"/>
        <v>34160137438.240334</v>
      </c>
      <c r="AK196" s="1">
        <f t="shared" si="148"/>
        <v>34194297575.678574</v>
      </c>
      <c r="AL196" s="39">
        <f>+AJ196/('Volcano Summary'!C$8)*10^6</f>
        <v>2371.4950547057233</v>
      </c>
      <c r="AM196" s="1">
        <f t="shared" si="131"/>
        <v>4808.435805553351</v>
      </c>
    </row>
    <row r="197" spans="1:39" ht="12.75" hidden="1">
      <c r="A197" s="1">
        <f t="shared" si="149"/>
        <v>2703094.3273213995</v>
      </c>
      <c r="B197" s="1">
        <f t="shared" si="151"/>
        <v>4838.992101977458</v>
      </c>
      <c r="C197" s="1">
        <f t="shared" si="157"/>
        <v>1040</v>
      </c>
      <c r="D197" s="12">
        <f t="shared" si="132"/>
        <v>36.38913473173784</v>
      </c>
      <c r="E197" s="38">
        <f t="shared" si="124"/>
        <v>384188372.2790285</v>
      </c>
      <c r="F197" s="38">
        <f t="shared" si="125"/>
        <v>247013158.40563178</v>
      </c>
      <c r="G197" s="38">
        <f t="shared" si="126"/>
        <v>109837944.53223515</v>
      </c>
      <c r="H197" s="18">
        <f t="shared" si="133"/>
        <v>0.013740365185542884</v>
      </c>
      <c r="I197" s="50">
        <f t="shared" si="155"/>
        <v>0.04308415234830023</v>
      </c>
      <c r="J197" s="3">
        <f t="shared" si="134"/>
        <v>60.69919869752102</v>
      </c>
      <c r="K197" s="12">
        <f t="shared" si="156"/>
        <v>1.0263561537481</v>
      </c>
      <c r="L197" s="3">
        <f t="shared" si="135"/>
        <v>1621.724157104509</v>
      </c>
      <c r="M197" s="12">
        <v>0.718</v>
      </c>
      <c r="N197" s="37">
        <f t="shared" si="136"/>
        <v>1471.1518995687964</v>
      </c>
      <c r="O197" s="1">
        <f t="shared" si="127"/>
        <v>43493.67352215492</v>
      </c>
      <c r="P197">
        <f t="shared" si="137"/>
        <v>208.55136902488778</v>
      </c>
      <c r="Q197" s="1">
        <f t="shared" si="138"/>
        <v>306.81074269863666</v>
      </c>
      <c r="R197" s="1">
        <f>+Q197*1000/'Material Properties'!AE$35</f>
        <v>263116.72420382407</v>
      </c>
      <c r="S197" s="1">
        <f t="shared" si="139"/>
        <v>252.99685019598468</v>
      </c>
      <c r="T197" s="1">
        <f t="shared" si="140"/>
        <v>-42.74241122165449</v>
      </c>
      <c r="U197">
        <f t="shared" si="128"/>
        <v>-0.00020500491605418574</v>
      </c>
      <c r="V197">
        <f>+'Material Properties'!AE$31+'Material Properties'!AE$33</f>
        <v>0.00029034311030761144</v>
      </c>
      <c r="W197">
        <f t="shared" si="141"/>
        <v>8.53381942534257E-05</v>
      </c>
      <c r="X197" s="1">
        <f>+'Volcano Summary'!E$12*10^9/Q197/3600/24/365</f>
        <v>0</v>
      </c>
      <c r="Y197" s="3">
        <f t="shared" si="142"/>
        <v>20</v>
      </c>
      <c r="Z197" s="1">
        <f>+Y197*'Volcano Summary'!B$19*'Volcano Summary'!B$20/1000</f>
        <v>810000</v>
      </c>
      <c r="AA197" s="1">
        <f t="shared" si="129"/>
        <v>2640064.0110428547</v>
      </c>
      <c r="AB197" s="3">
        <f t="shared" si="153"/>
        <v>733.3511141785708</v>
      </c>
      <c r="AC197" s="1">
        <f t="shared" si="143"/>
        <v>418088917.6108523</v>
      </c>
      <c r="AD197" s="36">
        <f t="shared" si="144"/>
        <v>116135.81044745899</v>
      </c>
      <c r="AE197" s="36">
        <f t="shared" si="150"/>
        <v>4838.992101977458</v>
      </c>
      <c r="AG197" s="1">
        <f t="shared" si="130"/>
        <v>810000000</v>
      </c>
      <c r="AH197" s="1">
        <f t="shared" si="145"/>
        <v>810000</v>
      </c>
      <c r="AI197" s="1">
        <f t="shared" si="146"/>
        <v>810810000</v>
      </c>
      <c r="AJ197" s="1">
        <f t="shared" si="147"/>
        <v>34970137438.24033</v>
      </c>
      <c r="AK197" s="1">
        <f t="shared" si="148"/>
        <v>35005107575.67857</v>
      </c>
      <c r="AL197" s="39">
        <f>+AJ197/('Volcano Summary'!C$8)*10^6</f>
        <v>2427.7275859062943</v>
      </c>
      <c r="AM197" s="1">
        <f t="shared" si="131"/>
        <v>4838.992101977458</v>
      </c>
    </row>
    <row r="198" spans="1:39" ht="12.75" hidden="1">
      <c r="A198" s="1">
        <f t="shared" si="149"/>
        <v>2640064.0110428547</v>
      </c>
      <c r="B198" s="1">
        <f t="shared" si="151"/>
        <v>4868.848993261397</v>
      </c>
      <c r="C198" s="1">
        <f t="shared" si="157"/>
        <v>1060</v>
      </c>
      <c r="D198" s="12">
        <f t="shared" si="132"/>
        <v>36.73736405104852</v>
      </c>
      <c r="E198" s="38">
        <f t="shared" si="124"/>
        <v>387864899.8016551</v>
      </c>
      <c r="F198" s="38">
        <f t="shared" si="125"/>
        <v>249376974.54598513</v>
      </c>
      <c r="G198" s="38">
        <f t="shared" si="126"/>
        <v>110889049.29031517</v>
      </c>
      <c r="H198" s="18">
        <f t="shared" si="133"/>
        <v>0.013610121817809883</v>
      </c>
      <c r="I198" s="50">
        <f t="shared" si="155"/>
        <v>0.04298865706033393</v>
      </c>
      <c r="J198" s="3">
        <f t="shared" si="134"/>
        <v>60.00808593751978</v>
      </c>
      <c r="K198" s="12">
        <f t="shared" si="156"/>
        <v>1.0230388125000942</v>
      </c>
      <c r="L198" s="3">
        <f t="shared" si="135"/>
        <v>1616.4824947248333</v>
      </c>
      <c r="M198" s="12">
        <v>0.718</v>
      </c>
      <c r="N198" s="37">
        <f t="shared" si="136"/>
        <v>1499.4432822528115</v>
      </c>
      <c r="O198" s="1">
        <f t="shared" si="127"/>
        <v>43852.392601017</v>
      </c>
      <c r="P198">
        <f t="shared" si="137"/>
        <v>209.40962872088045</v>
      </c>
      <c r="Q198" s="1">
        <f t="shared" si="138"/>
        <v>313.9978610245796</v>
      </c>
      <c r="R198" s="1">
        <f>+Q198*1000/'Material Properties'!AE$35</f>
        <v>269280.29922650463</v>
      </c>
      <c r="S198" s="1">
        <f t="shared" si="139"/>
        <v>254.03801813821192</v>
      </c>
      <c r="T198" s="1">
        <f t="shared" si="140"/>
        <v>-37.24183710564989</v>
      </c>
      <c r="U198">
        <f t="shared" si="128"/>
        <v>-0.00023603374741521896</v>
      </c>
      <c r="V198">
        <f>+'Material Properties'!AE$31+'Material Properties'!AE$33</f>
        <v>0.00029034311030761144</v>
      </c>
      <c r="W198">
        <f t="shared" si="141"/>
        <v>5.4309362892392485E-05</v>
      </c>
      <c r="X198" s="1">
        <f>+'Volcano Summary'!E$12*10^9/Q198/3600/24/365</f>
        <v>0</v>
      </c>
      <c r="Y198" s="3">
        <f t="shared" si="142"/>
        <v>20</v>
      </c>
      <c r="Z198" s="1">
        <f>+Y198*'Volcano Summary'!B$19*'Volcano Summary'!B$20/1000</f>
        <v>810000</v>
      </c>
      <c r="AA198" s="1">
        <f t="shared" si="129"/>
        <v>2579635.406932258</v>
      </c>
      <c r="AB198" s="3">
        <f t="shared" si="153"/>
        <v>716.5653908145161</v>
      </c>
      <c r="AC198" s="1">
        <f t="shared" si="143"/>
        <v>420668553.01778454</v>
      </c>
      <c r="AD198" s="36">
        <f t="shared" si="144"/>
        <v>116852.37583827351</v>
      </c>
      <c r="AE198" s="36">
        <f t="shared" si="150"/>
        <v>4868.848993261397</v>
      </c>
      <c r="AG198" s="1">
        <f t="shared" si="130"/>
        <v>810000000</v>
      </c>
      <c r="AH198" s="1">
        <f t="shared" si="145"/>
        <v>810000</v>
      </c>
      <c r="AI198" s="1">
        <f t="shared" si="146"/>
        <v>810810000</v>
      </c>
      <c r="AJ198" s="1">
        <f t="shared" si="147"/>
        <v>35780137438.24033</v>
      </c>
      <c r="AK198" s="1">
        <f t="shared" si="148"/>
        <v>35815917575.67857</v>
      </c>
      <c r="AL198" s="39">
        <f>+AJ198/('Volcano Summary'!C$8)*10^6</f>
        <v>2483.960117106865</v>
      </c>
      <c r="AM198" s="1">
        <f t="shared" si="131"/>
        <v>4868.848993261397</v>
      </c>
    </row>
    <row r="199" spans="1:39" ht="12.75" hidden="1">
      <c r="A199" s="1">
        <f t="shared" si="149"/>
        <v>2579635.406932258</v>
      </c>
      <c r="B199" s="1">
        <f t="shared" si="151"/>
        <v>4898.034825077371</v>
      </c>
      <c r="C199" s="1">
        <f t="shared" si="157"/>
        <v>1080</v>
      </c>
      <c r="D199" s="12">
        <f t="shared" si="132"/>
        <v>37.0823233942262</v>
      </c>
      <c r="E199" s="38">
        <f t="shared" si="124"/>
        <v>391506903.64524436</v>
      </c>
      <c r="F199" s="38">
        <f t="shared" si="125"/>
        <v>251718593.7547962</v>
      </c>
      <c r="G199" s="38">
        <f t="shared" si="126"/>
        <v>111930283.86434804</v>
      </c>
      <c r="H199" s="18">
        <f t="shared" si="133"/>
        <v>0.0134835132816368</v>
      </c>
      <c r="I199" s="50">
        <f t="shared" si="155"/>
        <v>0.04289535747441644</v>
      </c>
      <c r="J199" s="3">
        <f t="shared" si="134"/>
        <v>59.33801222268525</v>
      </c>
      <c r="K199" s="12">
        <f t="shared" si="156"/>
        <v>1.0198224586688884</v>
      </c>
      <c r="L199" s="3">
        <f t="shared" si="135"/>
        <v>1611.4004004763465</v>
      </c>
      <c r="M199" s="12">
        <v>0.718</v>
      </c>
      <c r="N199" s="37">
        <f t="shared" si="136"/>
        <v>1527.7346649368271</v>
      </c>
      <c r="O199" s="1">
        <f t="shared" si="127"/>
        <v>44208.16979915782</v>
      </c>
      <c r="P199">
        <f t="shared" si="137"/>
        <v>210.25738940441028</v>
      </c>
      <c r="Q199" s="1">
        <f t="shared" si="138"/>
        <v>321.2175023522387</v>
      </c>
      <c r="R199" s="1">
        <f>+Q199*1000/'Material Properties'!AE$35</f>
        <v>275471.7655335566</v>
      </c>
      <c r="S199" s="1">
        <f t="shared" si="139"/>
        <v>255.06644956810794</v>
      </c>
      <c r="T199" s="1">
        <f t="shared" si="140"/>
        <v>-31.9419178374726</v>
      </c>
      <c r="U199">
        <f t="shared" si="128"/>
        <v>-0.00027633279763549564</v>
      </c>
      <c r="V199">
        <f>+'Material Properties'!AE$31+'Material Properties'!AE$33</f>
        <v>0.00029034311030761144</v>
      </c>
      <c r="W199">
        <f t="shared" si="141"/>
        <v>1.4010312672115802E-05</v>
      </c>
      <c r="X199" s="1">
        <f>+'Volcano Summary'!E$12*10^9/Q199/3600/24/365</f>
        <v>0</v>
      </c>
      <c r="Y199" s="3">
        <f t="shared" si="142"/>
        <v>20</v>
      </c>
      <c r="Z199" s="1">
        <f>+Y199*'Volcano Summary'!B$19*'Volcano Summary'!B$20/1000</f>
        <v>810000</v>
      </c>
      <c r="AA199" s="1">
        <f t="shared" si="129"/>
        <v>2521655.8689002423</v>
      </c>
      <c r="AB199" s="3">
        <f t="shared" si="153"/>
        <v>700.4599635834006</v>
      </c>
      <c r="AC199" s="1">
        <f t="shared" si="143"/>
        <v>423190208.8866848</v>
      </c>
      <c r="AD199" s="36">
        <f t="shared" si="144"/>
        <v>117552.83580185691</v>
      </c>
      <c r="AE199" s="36">
        <f t="shared" si="150"/>
        <v>4898.034825077371</v>
      </c>
      <c r="AG199" s="1">
        <f t="shared" si="130"/>
        <v>810000000</v>
      </c>
      <c r="AH199" s="1">
        <f t="shared" si="145"/>
        <v>810000</v>
      </c>
      <c r="AI199" s="1">
        <f t="shared" si="146"/>
        <v>810810000</v>
      </c>
      <c r="AJ199" s="1">
        <f t="shared" si="147"/>
        <v>36590137438.24033</v>
      </c>
      <c r="AK199" s="1">
        <f t="shared" si="148"/>
        <v>36626727575.67857</v>
      </c>
      <c r="AL199" s="39">
        <f>+AJ199/('Volcano Summary'!C$8)*10^6</f>
        <v>2540.192648307436</v>
      </c>
      <c r="AM199" s="1">
        <f t="shared" si="131"/>
        <v>4898.034825077371</v>
      </c>
    </row>
    <row r="200" spans="1:39" ht="12.75" hidden="1">
      <c r="A200" s="1">
        <f t="shared" si="149"/>
        <v>2521655.8689002423</v>
      </c>
      <c r="B200" s="1">
        <f t="shared" si="151"/>
        <v>4926.576309761092</v>
      </c>
      <c r="C200" s="1">
        <f t="shared" si="157"/>
        <v>1100</v>
      </c>
      <c r="D200" s="12">
        <f t="shared" si="132"/>
        <v>37.424103185095554</v>
      </c>
      <c r="E200" s="38">
        <f t="shared" si="124"/>
        <v>395115338.48437893</v>
      </c>
      <c r="F200" s="38">
        <f t="shared" si="125"/>
        <v>254038629.83821046</v>
      </c>
      <c r="G200" s="38">
        <f t="shared" si="126"/>
        <v>112961921.19204204</v>
      </c>
      <c r="H200" s="18">
        <f t="shared" si="133"/>
        <v>0.013360373594713927</v>
      </c>
      <c r="I200" s="50">
        <f t="shared" si="155"/>
        <v>0.04280416297014303</v>
      </c>
      <c r="J200" s="3">
        <f t="shared" si="134"/>
        <v>58.687960869013054</v>
      </c>
      <c r="K200" s="12">
        <f t="shared" si="156"/>
        <v>1.0167022121712619</v>
      </c>
      <c r="L200" s="3">
        <f t="shared" si="135"/>
        <v>1606.4701634403598</v>
      </c>
      <c r="M200" s="12">
        <v>0.718</v>
      </c>
      <c r="N200" s="37">
        <f t="shared" si="136"/>
        <v>1556.0260476208427</v>
      </c>
      <c r="O200" s="1">
        <f t="shared" si="127"/>
        <v>44561.07978713428</v>
      </c>
      <c r="P200">
        <f t="shared" si="137"/>
        <v>211.09495443315143</v>
      </c>
      <c r="Q200" s="1">
        <f t="shared" si="138"/>
        <v>328.46924761931854</v>
      </c>
      <c r="R200" s="1">
        <f>+Q200*1000/'Material Properties'!AE$35</f>
        <v>281690.76374284946</v>
      </c>
      <c r="S200" s="1">
        <f t="shared" si="139"/>
        <v>256.0825124934995</v>
      </c>
      <c r="T200" s="1">
        <f t="shared" si="140"/>
        <v>-26.831605516582613</v>
      </c>
      <c r="U200">
        <f t="shared" si="128"/>
        <v>-0.0003307893911356413</v>
      </c>
      <c r="V200">
        <f>+'Material Properties'!AE$31+'Material Properties'!AE$33</f>
        <v>0.00029034311030761144</v>
      </c>
      <c r="W200">
        <f t="shared" si="141"/>
        <v>-4.0446280828029856E-05</v>
      </c>
      <c r="X200" s="1">
        <f>+'Volcano Summary'!E$12*10^9/Q200/3600/24/365</f>
        <v>0</v>
      </c>
      <c r="Y200" s="3">
        <f t="shared" si="142"/>
        <v>20</v>
      </c>
      <c r="Z200" s="1">
        <f>+Y200*'Volcano Summary'!B$19*'Volcano Summary'!B$20/1000</f>
        <v>810000</v>
      </c>
      <c r="AA200" s="1">
        <f t="shared" si="129"/>
        <v>2465984.276673457</v>
      </c>
      <c r="AB200" s="3">
        <f t="shared" si="153"/>
        <v>684.9956324092936</v>
      </c>
      <c r="AC200" s="1">
        <f t="shared" si="143"/>
        <v>425656193.1633582</v>
      </c>
      <c r="AD200" s="36">
        <f t="shared" si="144"/>
        <v>118237.8314342662</v>
      </c>
      <c r="AE200" s="36">
        <f t="shared" si="150"/>
        <v>4926.576309761092</v>
      </c>
      <c r="AG200" s="1">
        <f t="shared" si="130"/>
        <v>809999999.9999999</v>
      </c>
      <c r="AH200" s="1">
        <f t="shared" si="145"/>
        <v>810000</v>
      </c>
      <c r="AI200" s="1">
        <f t="shared" si="146"/>
        <v>810809999.9999999</v>
      </c>
      <c r="AJ200" s="1">
        <f t="shared" si="147"/>
        <v>37400137438.24033</v>
      </c>
      <c r="AK200" s="1">
        <f t="shared" si="148"/>
        <v>37437537575.67857</v>
      </c>
      <c r="AL200" s="39">
        <f>+AJ200/('Volcano Summary'!C$8)*10^6</f>
        <v>2596.4251795080063</v>
      </c>
      <c r="AM200" s="1">
        <f t="shared" si="131"/>
        <v>4926.576309761092</v>
      </c>
    </row>
    <row r="201" spans="1:39" ht="12.75" hidden="1">
      <c r="A201" s="1">
        <f t="shared" si="149"/>
        <v>2465984.276673457</v>
      </c>
      <c r="B201" s="1">
        <f t="shared" si="151"/>
        <v>4954.498647467355</v>
      </c>
      <c r="C201" s="1">
        <f t="shared" si="157"/>
        <v>1120</v>
      </c>
      <c r="D201" s="12">
        <f t="shared" si="132"/>
        <v>37.762789755305185</v>
      </c>
      <c r="E201" s="38">
        <f t="shared" si="124"/>
        <v>398691115.7893589</v>
      </c>
      <c r="F201" s="38">
        <f t="shared" si="125"/>
        <v>256337668.8242649</v>
      </c>
      <c r="G201" s="38">
        <f t="shared" si="126"/>
        <v>113984221.85917093</v>
      </c>
      <c r="H201" s="18">
        <f t="shared" si="133"/>
        <v>0.013240547195794941</v>
      </c>
      <c r="I201" s="50">
        <f t="shared" si="155"/>
        <v>0.04271498825089822</v>
      </c>
      <c r="J201" s="3">
        <f t="shared" si="134"/>
        <v>58.056981790384434</v>
      </c>
      <c r="K201" s="12">
        <f t="shared" si="156"/>
        <v>1.0136735125938445</v>
      </c>
      <c r="L201" s="3">
        <f t="shared" si="135"/>
        <v>1601.6845778019115</v>
      </c>
      <c r="M201" s="12">
        <v>0.718</v>
      </c>
      <c r="N201" s="37">
        <f t="shared" si="136"/>
        <v>1584.317430304858</v>
      </c>
      <c r="O201" s="1">
        <f t="shared" si="127"/>
        <v>44911.19403258681</v>
      </c>
      <c r="P201">
        <f t="shared" si="137"/>
        <v>211.92261331105468</v>
      </c>
      <c r="Q201" s="1">
        <f t="shared" si="138"/>
        <v>335.75269014446025</v>
      </c>
      <c r="R201" s="1">
        <f>+Q201*1000/'Material Properties'!AE$35</f>
        <v>287936.9450899755</v>
      </c>
      <c r="S201" s="1">
        <f t="shared" si="139"/>
        <v>257.08655811604956</v>
      </c>
      <c r="T201" s="1">
        <f t="shared" si="140"/>
        <v>-21.90065424594104</v>
      </c>
      <c r="U201">
        <f t="shared" si="128"/>
        <v>-0.0004084587032167303</v>
      </c>
      <c r="V201">
        <f>+'Material Properties'!AE$31+'Material Properties'!AE$33</f>
        <v>0.00029034311030761144</v>
      </c>
      <c r="W201">
        <f t="shared" si="141"/>
        <v>-0.00011811559290911885</v>
      </c>
      <c r="X201" s="1">
        <f>+'Volcano Summary'!E$12*10^9/Q201/3600/24/365</f>
        <v>0</v>
      </c>
      <c r="Y201" s="3">
        <f t="shared" si="142"/>
        <v>20</v>
      </c>
      <c r="Z201" s="1">
        <f>+Y201*'Volcano Summary'!B$19*'Volcano Summary'!B$20/1000</f>
        <v>810000</v>
      </c>
      <c r="AA201" s="1">
        <f t="shared" si="129"/>
        <v>2412489.977821149</v>
      </c>
      <c r="AB201" s="3">
        <f t="shared" si="153"/>
        <v>670.1361049503191</v>
      </c>
      <c r="AC201" s="1">
        <f t="shared" si="143"/>
        <v>428068683.1411794</v>
      </c>
      <c r="AD201" s="36">
        <f t="shared" si="144"/>
        <v>118907.96753921652</v>
      </c>
      <c r="AE201" s="36">
        <f t="shared" si="150"/>
        <v>4954.498647467355</v>
      </c>
      <c r="AG201" s="1">
        <f t="shared" si="130"/>
        <v>810000000</v>
      </c>
      <c r="AH201" s="1">
        <f t="shared" si="145"/>
        <v>810000</v>
      </c>
      <c r="AI201" s="1">
        <f t="shared" si="146"/>
        <v>810810000</v>
      </c>
      <c r="AJ201" s="1">
        <f t="shared" si="147"/>
        <v>38210137438.24033</v>
      </c>
      <c r="AK201" s="1">
        <f t="shared" si="148"/>
        <v>38248347575.67857</v>
      </c>
      <c r="AL201" s="39">
        <f>+AJ201/('Volcano Summary'!C$8)*10^6</f>
        <v>2652.6577107085773</v>
      </c>
      <c r="AM201" s="1">
        <f t="shared" si="131"/>
        <v>4954.498647467355</v>
      </c>
    </row>
    <row r="202" spans="1:39" ht="12.75" hidden="1">
      <c r="A202" s="1">
        <f t="shared" si="149"/>
        <v>2412489.977821149</v>
      </c>
      <c r="B202" s="1">
        <f t="shared" si="151"/>
        <v>4981.8256363974215</v>
      </c>
      <c r="C202" s="1">
        <f t="shared" si="157"/>
        <v>1140</v>
      </c>
      <c r="D202" s="12">
        <f t="shared" si="132"/>
        <v>38.09846559899868</v>
      </c>
      <c r="E202" s="38">
        <f t="shared" si="124"/>
        <v>402235106.5149617</v>
      </c>
      <c r="F202" s="38">
        <f t="shared" si="125"/>
        <v>258616270.69162086</v>
      </c>
      <c r="G202" s="38">
        <f t="shared" si="126"/>
        <v>114997434.86827995</v>
      </c>
      <c r="H202" s="18">
        <f t="shared" si="133"/>
        <v>0.013123888118295799</v>
      </c>
      <c r="I202" s="50">
        <f t="shared" si="155"/>
        <v>0.04262775294166413</v>
      </c>
      <c r="J202" s="3">
        <f t="shared" si="134"/>
        <v>57.444186034075464</v>
      </c>
      <c r="K202" s="12">
        <f t="shared" si="156"/>
        <v>1.0107320929635615</v>
      </c>
      <c r="L202" s="3">
        <f t="shared" si="135"/>
        <v>1597.0369014049888</v>
      </c>
      <c r="M202" s="12">
        <v>0.718</v>
      </c>
      <c r="N202" s="37">
        <f t="shared" si="136"/>
        <v>1612.6088129888733</v>
      </c>
      <c r="O202" s="1">
        <f t="shared" si="127"/>
        <v>45258.58099191036</v>
      </c>
      <c r="P202">
        <f t="shared" si="137"/>
        <v>212.74064254841002</v>
      </c>
      <c r="Q202" s="1">
        <f t="shared" si="138"/>
        <v>343.0674350544817</v>
      </c>
      <c r="R202" s="1">
        <f>+Q202*1000/'Material Properties'!AE$35</f>
        <v>294209.970937059</v>
      </c>
      <c r="S202" s="1">
        <f t="shared" si="139"/>
        <v>258.0789218746132</v>
      </c>
      <c r="T202" s="1">
        <f t="shared" si="140"/>
        <v>-17.139548492116546</v>
      </c>
      <c r="U202">
        <f t="shared" si="128"/>
        <v>-0.0005282104982268517</v>
      </c>
      <c r="V202">
        <f>+'Material Properties'!AE$31+'Material Properties'!AE$33</f>
        <v>0.00029034311030761144</v>
      </c>
      <c r="W202">
        <f t="shared" si="141"/>
        <v>-0.00023786738791924025</v>
      </c>
      <c r="X202" s="1">
        <f>+'Volcano Summary'!E$12*10^9/Q202/3600/24/365</f>
        <v>0</v>
      </c>
      <c r="Y202" s="3">
        <f t="shared" si="142"/>
        <v>20</v>
      </c>
      <c r="Z202" s="1">
        <f>+Y202*'Volcano Summary'!B$19*'Volcano Summary'!B$20/1000</f>
        <v>810000</v>
      </c>
      <c r="AA202" s="1">
        <f t="shared" si="129"/>
        <v>2361051.843557713</v>
      </c>
      <c r="AB202" s="3">
        <f t="shared" si="153"/>
        <v>655.8477343215869</v>
      </c>
      <c r="AC202" s="1">
        <f t="shared" si="143"/>
        <v>430429734.9847371</v>
      </c>
      <c r="AD202" s="36">
        <f t="shared" si="144"/>
        <v>119563.81527353812</v>
      </c>
      <c r="AE202" s="36">
        <f t="shared" si="150"/>
        <v>4981.8256363974215</v>
      </c>
      <c r="AG202" s="1">
        <f t="shared" si="130"/>
        <v>810000000</v>
      </c>
      <c r="AH202" s="1">
        <f t="shared" si="145"/>
        <v>810000</v>
      </c>
      <c r="AI202" s="1">
        <f t="shared" si="146"/>
        <v>810810000</v>
      </c>
      <c r="AJ202" s="1">
        <f t="shared" si="147"/>
        <v>39020137438.24033</v>
      </c>
      <c r="AK202" s="1">
        <f t="shared" si="148"/>
        <v>39059157575.67857</v>
      </c>
      <c r="AL202" s="39">
        <f>+AJ202/('Volcano Summary'!C$8)*10^6</f>
        <v>2708.890241909148</v>
      </c>
      <c r="AM202" s="1">
        <f t="shared" si="131"/>
        <v>4981.8256363974215</v>
      </c>
    </row>
    <row r="203" spans="1:39" ht="12.75" hidden="1">
      <c r="A203" s="1">
        <f t="shared" si="149"/>
        <v>2361051.843557713</v>
      </c>
      <c r="B203" s="1">
        <f t="shared" si="151"/>
        <v>5008.579773253352</v>
      </c>
      <c r="C203" s="1">
        <f t="shared" si="157"/>
        <v>1160</v>
      </c>
      <c r="D203" s="12">
        <f t="shared" si="132"/>
        <v>38.43120960746342</v>
      </c>
      <c r="E203" s="38">
        <f t="shared" si="124"/>
        <v>405748143.5778126</v>
      </c>
      <c r="F203" s="38">
        <f t="shared" si="125"/>
        <v>260874970.96238434</v>
      </c>
      <c r="G203" s="38">
        <f t="shared" si="126"/>
        <v>116001798.3469561</v>
      </c>
      <c r="H203" s="18">
        <f t="shared" si="133"/>
        <v>0.013010259242605232</v>
      </c>
      <c r="I203" s="50">
        <f t="shared" si="155"/>
        <v>0.0425423812237206</v>
      </c>
      <c r="J203" s="3">
        <f t="shared" si="134"/>
        <v>56.84874085183463</v>
      </c>
      <c r="K203" s="12">
        <f t="shared" si="156"/>
        <v>1.0078739560888055</v>
      </c>
      <c r="L203" s="3">
        <f t="shared" si="135"/>
        <v>1592.520818369703</v>
      </c>
      <c r="M203" s="12">
        <v>0.718</v>
      </c>
      <c r="N203" s="37">
        <f t="shared" si="136"/>
        <v>1640.9001956728887</v>
      </c>
      <c r="O203" s="1">
        <f t="shared" si="127"/>
        <v>45603.30628731621</v>
      </c>
      <c r="P203">
        <f t="shared" si="137"/>
        <v>213.54930645477688</v>
      </c>
      <c r="Q203" s="1">
        <f t="shared" si="138"/>
        <v>350.4130987474531</v>
      </c>
      <c r="R203" s="1">
        <f>+Q203*1000/'Material Properties'!AE$35</f>
        <v>300509.5123122971</v>
      </c>
      <c r="S203" s="1">
        <f t="shared" si="139"/>
        <v>259.0599244071527</v>
      </c>
      <c r="T203" s="1">
        <f t="shared" si="140"/>
        <v>-12.539438994351713</v>
      </c>
      <c r="U203">
        <f t="shared" si="128"/>
        <v>-0.0007369685088914174</v>
      </c>
      <c r="V203">
        <f>+'Material Properties'!AE$31+'Material Properties'!AE$33</f>
        <v>0.00029034311030761144</v>
      </c>
      <c r="W203">
        <f t="shared" si="141"/>
        <v>-0.0004466253985838059</v>
      </c>
      <c r="X203" s="1">
        <f>+'Volcano Summary'!E$12*10^9/Q203/3600/24/365</f>
        <v>0</v>
      </c>
      <c r="Y203" s="3">
        <f t="shared" si="142"/>
        <v>20</v>
      </c>
      <c r="Z203" s="1">
        <f>+Y203*'Volcano Summary'!B$19*'Volcano Summary'!B$20/1000</f>
        <v>810000</v>
      </c>
      <c r="AA203" s="1">
        <f t="shared" si="129"/>
        <v>2311557.4243523832</v>
      </c>
      <c r="AB203" s="3">
        <f t="shared" si="153"/>
        <v>642.0992845423286</v>
      </c>
      <c r="AC203" s="1">
        <f t="shared" si="143"/>
        <v>432741292.4090895</v>
      </c>
      <c r="AD203" s="36">
        <f t="shared" si="144"/>
        <v>120205.91455808045</v>
      </c>
      <c r="AE203" s="36">
        <f t="shared" si="150"/>
        <v>5008.579773253352</v>
      </c>
      <c r="AG203" s="1">
        <f t="shared" si="130"/>
        <v>810000000</v>
      </c>
      <c r="AH203" s="1">
        <f t="shared" si="145"/>
        <v>810000</v>
      </c>
      <c r="AI203" s="1">
        <f t="shared" si="146"/>
        <v>810810000</v>
      </c>
      <c r="AJ203" s="1">
        <f t="shared" si="147"/>
        <v>39830137438.24033</v>
      </c>
      <c r="AK203" s="1">
        <f t="shared" si="148"/>
        <v>39869967575.67857</v>
      </c>
      <c r="AL203" s="39">
        <f>+AJ203/('Volcano Summary'!C$8)*10^6</f>
        <v>2765.1227731097188</v>
      </c>
      <c r="AM203" s="1">
        <f t="shared" si="131"/>
        <v>5008.579773253352</v>
      </c>
    </row>
    <row r="204" spans="1:39" ht="12.75" hidden="1">
      <c r="A204" s="1">
        <f t="shared" si="149"/>
        <v>2311557.4243523832</v>
      </c>
      <c r="B204" s="1">
        <f t="shared" si="151"/>
        <v>5034.782344935043</v>
      </c>
      <c r="C204" s="1">
        <f t="shared" si="157"/>
        <v>1180</v>
      </c>
      <c r="D204" s="12">
        <f t="shared" si="132"/>
        <v>38.7610972856483</v>
      </c>
      <c r="E204" s="38">
        <f t="shared" si="124"/>
        <v>409231024.1423295</v>
      </c>
      <c r="F204" s="38">
        <f t="shared" si="125"/>
        <v>263114282.1718503</v>
      </c>
      <c r="G204" s="38">
        <f t="shared" si="126"/>
        <v>116997540.20137112</v>
      </c>
      <c r="H204" s="18">
        <f t="shared" si="133"/>
        <v>0.012899531618397455</v>
      </c>
      <c r="I204" s="50">
        <f t="shared" si="155"/>
        <v>0.0424588015022771</v>
      </c>
      <c r="J204" s="3">
        <f t="shared" si="134"/>
        <v>56.26986524578849</v>
      </c>
      <c r="K204" s="12">
        <f t="shared" si="156"/>
        <v>1.005095353179784</v>
      </c>
      <c r="L204" s="3">
        <f t="shared" si="135"/>
        <v>1588.1304053107417</v>
      </c>
      <c r="M204" s="12">
        <v>0.718</v>
      </c>
      <c r="N204" s="37">
        <f t="shared" si="136"/>
        <v>1669.1915783569034</v>
      </c>
      <c r="O204" s="1">
        <f t="shared" si="127"/>
        <v>45945.43287062973</v>
      </c>
      <c r="P204">
        <f t="shared" si="137"/>
        <v>214.34885787106433</v>
      </c>
      <c r="Q204" s="1">
        <f t="shared" si="138"/>
        <v>357.78930838880143</v>
      </c>
      <c r="R204" s="1">
        <f>+Q204*1000/'Material Properties'!AE$35</f>
        <v>306835.2494778259</v>
      </c>
      <c r="S204" s="1">
        <f t="shared" si="139"/>
        <v>260.02987243883547</v>
      </c>
      <c r="T204" s="1">
        <f t="shared" si="140"/>
        <v>-8.092085310611537</v>
      </c>
      <c r="U204">
        <f t="shared" si="128"/>
        <v>-0.0011926860749751906</v>
      </c>
      <c r="V204">
        <f>+'Material Properties'!AE$31+'Material Properties'!AE$33</f>
        <v>0.00029034311030761144</v>
      </c>
      <c r="W204">
        <f t="shared" si="141"/>
        <v>-0.0009023429646675792</v>
      </c>
      <c r="X204" s="1">
        <f>+'Volcano Summary'!E$12*10^9/Q204/3600/24/365</f>
        <v>0</v>
      </c>
      <c r="Y204" s="3">
        <f t="shared" si="142"/>
        <v>20</v>
      </c>
      <c r="Z204" s="1">
        <f>+Y204*'Volcano Summary'!B$19*'Volcano Summary'!B$20/1000</f>
        <v>810000</v>
      </c>
      <c r="AA204" s="1">
        <f t="shared" si="129"/>
        <v>2263902.1932980497</v>
      </c>
      <c r="AB204" s="3">
        <f t="shared" si="153"/>
        <v>628.8617203605694</v>
      </c>
      <c r="AC204" s="1">
        <f t="shared" si="143"/>
        <v>435005194.60238755</v>
      </c>
      <c r="AD204" s="36">
        <f t="shared" si="144"/>
        <v>120834.77627844102</v>
      </c>
      <c r="AE204" s="36">
        <f t="shared" si="150"/>
        <v>5034.782344935043</v>
      </c>
      <c r="AG204" s="1">
        <f t="shared" si="130"/>
        <v>809999999.9999999</v>
      </c>
      <c r="AH204" s="1">
        <f t="shared" si="145"/>
        <v>810000</v>
      </c>
      <c r="AI204" s="1">
        <f t="shared" si="146"/>
        <v>810809999.9999999</v>
      </c>
      <c r="AJ204" s="1">
        <f t="shared" si="147"/>
        <v>40640137438.24033</v>
      </c>
      <c r="AK204" s="1">
        <f t="shared" si="148"/>
        <v>40680777575.67857</v>
      </c>
      <c r="AL204" s="39">
        <f>+AJ204/('Volcano Summary'!C$8)*10^6</f>
        <v>2821.3553043102893</v>
      </c>
      <c r="AM204" s="1">
        <f t="shared" si="131"/>
        <v>5034.782344935043</v>
      </c>
    </row>
    <row r="205" spans="1:39" ht="12.75" hidden="1">
      <c r="A205" s="1">
        <f t="shared" si="149"/>
        <v>2263902.1932980497</v>
      </c>
      <c r="B205" s="1">
        <f t="shared" si="151"/>
        <v>5060.453512375096</v>
      </c>
      <c r="C205" s="1">
        <f t="shared" si="157"/>
        <v>1200</v>
      </c>
      <c r="D205" s="12">
        <f t="shared" si="132"/>
        <v>39.08820095223359</v>
      </c>
      <c r="E205" s="38">
        <f t="shared" si="124"/>
        <v>412684511.7330169</v>
      </c>
      <c r="F205" s="38">
        <f t="shared" si="125"/>
        <v>265334695.22659725</v>
      </c>
      <c r="G205" s="38">
        <f t="shared" si="126"/>
        <v>117984878.72017767</v>
      </c>
      <c r="H205" s="18">
        <f t="shared" si="133"/>
        <v>0.012791583849331106</v>
      </c>
      <c r="I205" s="50">
        <f t="shared" si="155"/>
        <v>0.04237694610356169</v>
      </c>
      <c r="J205" s="3">
        <f t="shared" si="134"/>
        <v>55.70682593622946</v>
      </c>
      <c r="K205" s="12">
        <f t="shared" si="156"/>
        <v>1.0023927644939008</v>
      </c>
      <c r="L205" s="3">
        <f t="shared" si="135"/>
        <v>1583.8601007555358</v>
      </c>
      <c r="M205" s="12">
        <v>0.718</v>
      </c>
      <c r="N205" s="37">
        <f t="shared" si="136"/>
        <v>1697.482961040919</v>
      </c>
      <c r="O205" s="1">
        <f t="shared" si="127"/>
        <v>46285.02117502387</v>
      </c>
      <c r="P205">
        <f t="shared" si="137"/>
        <v>215.13953884635865</v>
      </c>
      <c r="Q205" s="1">
        <f t="shared" si="138"/>
        <v>365.19570143789474</v>
      </c>
      <c r="R205" s="1">
        <f>+Q205*1000/'Material Properties'!AE$35</f>
        <v>313186.8715237252</v>
      </c>
      <c r="S205" s="1">
        <f t="shared" si="139"/>
        <v>260.98905960310435</v>
      </c>
      <c r="T205" s="1">
        <f t="shared" si="140"/>
        <v>-3.789804212394074</v>
      </c>
      <c r="U205">
        <f t="shared" si="128"/>
        <v>-0.0029683325822594713</v>
      </c>
      <c r="V205">
        <f>+'Material Properties'!AE$31+'Material Properties'!AE$33</f>
        <v>0.00029034311030761144</v>
      </c>
      <c r="W205">
        <f t="shared" si="141"/>
        <v>-0.00267798947195186</v>
      </c>
      <c r="X205" s="1">
        <f>+'Volcano Summary'!E$12*10^9/Q205/3600/24/365</f>
        <v>0</v>
      </c>
      <c r="Y205" s="3">
        <f t="shared" si="142"/>
        <v>20</v>
      </c>
      <c r="Z205" s="1">
        <f>+Y205*'Volcano Summary'!B$19*'Volcano Summary'!B$20/1000</f>
        <v>810000</v>
      </c>
      <c r="AA205" s="1">
        <f t="shared" si="129"/>
        <v>2217988.8668206264</v>
      </c>
      <c r="AB205" s="3">
        <f t="shared" si="153"/>
        <v>616.1080185612851</v>
      </c>
      <c r="AC205" s="1">
        <f t="shared" si="143"/>
        <v>437223183.4692082</v>
      </c>
      <c r="AD205" s="36">
        <f t="shared" si="144"/>
        <v>121450.8842970023</v>
      </c>
      <c r="AE205" s="36">
        <f t="shared" si="150"/>
        <v>5060.453512375096</v>
      </c>
      <c r="AG205" s="1">
        <f t="shared" si="130"/>
        <v>810000000</v>
      </c>
      <c r="AH205" s="1">
        <f t="shared" si="145"/>
        <v>810000</v>
      </c>
      <c r="AI205" s="1">
        <f t="shared" si="146"/>
        <v>810810000</v>
      </c>
      <c r="AJ205" s="1">
        <f t="shared" si="147"/>
        <v>41450137438.24033</v>
      </c>
      <c r="AK205" s="1">
        <f t="shared" si="148"/>
        <v>41491587575.67857</v>
      </c>
      <c r="AL205" s="39">
        <f>+AJ205/('Volcano Summary'!C$8)*10^6</f>
        <v>2877.5878355108603</v>
      </c>
      <c r="AM205" s="1">
        <f t="shared" si="131"/>
        <v>5060.453512375096</v>
      </c>
    </row>
    <row r="206" spans="1:39" ht="12.75" hidden="1">
      <c r="A206" s="1">
        <f t="shared" si="149"/>
        <v>2217988.8668206264</v>
      </c>
      <c r="B206" s="1">
        <f t="shared" si="151"/>
        <v>5085.612387302138</v>
      </c>
      <c r="C206" s="1">
        <f t="shared" si="157"/>
        <v>1220</v>
      </c>
      <c r="D206" s="12">
        <f t="shared" si="132"/>
        <v>39.41258992475499</v>
      </c>
      <c r="E206" s="38">
        <f aca="true" t="shared" si="158" ref="E206:E269">+$D206*1000*A$7*$F$11/$F$10</f>
        <v>416109338.1889635</v>
      </c>
      <c r="F206" s="38">
        <f aca="true" t="shared" si="159" ref="F206:F269">+$D206*1000*C$7*$F$11/$F$10</f>
        <v>267536680.66112813</v>
      </c>
      <c r="G206" s="38">
        <f aca="true" t="shared" si="160" ref="G206:G269">+$D206*1000*D$7*$F$11/$F$10</f>
        <v>118964023.13329278</v>
      </c>
      <c r="H206" s="18">
        <f t="shared" si="133"/>
        <v>0.012686301533458748</v>
      </c>
      <c r="I206" s="50">
        <f t="shared" si="155"/>
        <v>0.04229675099831007</v>
      </c>
      <c r="J206" s="3">
        <f t="shared" si="134"/>
        <v>55.158933705018384</v>
      </c>
      <c r="K206" s="12">
        <f t="shared" si="156"/>
        <v>0.9997628817840876</v>
      </c>
      <c r="L206" s="3">
        <f t="shared" si="135"/>
        <v>1579.7046774112312</v>
      </c>
      <c r="M206" s="12">
        <v>0.718</v>
      </c>
      <c r="N206" s="37">
        <f t="shared" si="136"/>
        <v>1725.7743437249344</v>
      </c>
      <c r="O206" s="1">
        <f aca="true" t="shared" si="161" ref="O206:O269">+L206/J206/P$9</f>
        <v>46622.12925576258</v>
      </c>
      <c r="P206">
        <f t="shared" si="137"/>
        <v>215.92158126450116</v>
      </c>
      <c r="Q206" s="1">
        <f t="shared" si="138"/>
        <v>372.63192520279455</v>
      </c>
      <c r="R206" s="1">
        <f>+Q206*1000/'Material Properties'!AE$35</f>
        <v>319564.0759861808</v>
      </c>
      <c r="S206" s="1">
        <f t="shared" si="139"/>
        <v>261.93776720178755</v>
      </c>
      <c r="T206" s="1">
        <f t="shared" si="140"/>
        <v>0.3745767547761716</v>
      </c>
      <c r="U206">
        <f aca="true" t="shared" si="162" ref="U206:U269">+I$3*0.1*0.9/(T206+0.9)</f>
        <v>0.006729998776343889</v>
      </c>
      <c r="V206">
        <f>+'Material Properties'!AE$31+'Material Properties'!AE$33</f>
        <v>0.00029034311030761144</v>
      </c>
      <c r="W206">
        <f t="shared" si="141"/>
        <v>0.007020341886651501</v>
      </c>
      <c r="X206" s="1">
        <f>+'Volcano Summary'!E$12*10^9/Q206/3600/24/365</f>
        <v>0</v>
      </c>
      <c r="Y206" s="3">
        <f t="shared" si="142"/>
        <v>20</v>
      </c>
      <c r="Z206" s="1">
        <f>+Y206*'Volcano Summary'!B$19*'Volcano Summary'!B$20/1000</f>
        <v>810000</v>
      </c>
      <c r="AA206" s="1">
        <f aca="true" t="shared" si="163" ref="AA206:AA269">Z206/(AA$12/100*Q206)</f>
        <v>2173726.7936964342</v>
      </c>
      <c r="AB206" s="3">
        <f t="shared" si="153"/>
        <v>603.8129982490095</v>
      </c>
      <c r="AC206" s="1">
        <f t="shared" si="143"/>
        <v>439396910.26290464</v>
      </c>
      <c r="AD206" s="36">
        <f t="shared" si="144"/>
        <v>122054.6972952513</v>
      </c>
      <c r="AE206" s="36">
        <f t="shared" si="150"/>
        <v>5085.612387302138</v>
      </c>
      <c r="AG206" s="1">
        <f aca="true" t="shared" si="164" ref="AG206:AG269">+AA206*Q206</f>
        <v>810000000.0000001</v>
      </c>
      <c r="AH206" s="1">
        <f t="shared" si="145"/>
        <v>810000</v>
      </c>
      <c r="AI206" s="1">
        <f t="shared" si="146"/>
        <v>810810000.0000001</v>
      </c>
      <c r="AJ206" s="1">
        <f t="shared" si="147"/>
        <v>42260137438.24033</v>
      </c>
      <c r="AK206" s="1">
        <f t="shared" si="148"/>
        <v>42302397575.67857</v>
      </c>
      <c r="AL206" s="39">
        <f>+AJ206/('Volcano Summary'!C$8)*10^6</f>
        <v>2933.820366711431</v>
      </c>
      <c r="AM206" s="1">
        <f aca="true" t="shared" si="165" ref="AM206:AM269">+B206</f>
        <v>5085.612387302138</v>
      </c>
    </row>
    <row r="207" spans="1:39" ht="12.75" hidden="1">
      <c r="A207" s="1">
        <f t="shared" si="149"/>
        <v>2173726.7936964342</v>
      </c>
      <c r="B207" s="1">
        <f t="shared" si="151"/>
        <v>5110.277102632317</v>
      </c>
      <c r="C207" s="1">
        <f t="shared" si="157"/>
        <v>1240</v>
      </c>
      <c r="D207" s="12">
        <f aca="true" t="shared" si="166" ref="D207:D270">2*SQRT(C207/PI())</f>
        <v>39.734330691124036</v>
      </c>
      <c r="E207" s="38">
        <f t="shared" si="158"/>
        <v>419506205.4747173</v>
      </c>
      <c r="F207" s="38">
        <f t="shared" si="159"/>
        <v>269720689.8021685</v>
      </c>
      <c r="G207" s="38">
        <f t="shared" si="160"/>
        <v>119935174.12961972</v>
      </c>
      <c r="H207" s="18">
        <f aca="true" t="shared" si="167" ref="H207:H270">+(H$13/1000)/D207</f>
        <v>0.012583576753482132</v>
      </c>
      <c r="I207" s="50">
        <f t="shared" si="155"/>
        <v>0.04221815554896015</v>
      </c>
      <c r="J207" s="3">
        <f aca="true" t="shared" si="168" ref="J207:J270">+J$13*I207/D207+1.5</f>
        <v>54.62554007407876</v>
      </c>
      <c r="K207" s="12">
        <f t="shared" si="156"/>
        <v>0.9972025923555774</v>
      </c>
      <c r="L207" s="3">
        <f aca="true" t="shared" si="169" ref="L207:L270">+L$10*K207</f>
        <v>1575.6592169731255</v>
      </c>
      <c r="M207" s="12">
        <v>0.718</v>
      </c>
      <c r="N207" s="37">
        <f aca="true" t="shared" si="170" ref="N207:N270">1.111*10^-6*(D207*1000)^2</f>
        <v>1754.0657264089493</v>
      </c>
      <c r="O207" s="1">
        <f t="shared" si="161"/>
        <v>46956.812920915894</v>
      </c>
      <c r="P207">
        <f aca="true" t="shared" si="171" ref="P207:P270">+SQRT(O207)</f>
        <v>216.69520742488953</v>
      </c>
      <c r="Q207" s="1">
        <f aca="true" t="shared" si="172" ref="Q207:Q270">+P207*N207/1000</f>
        <v>380.0976364210768</v>
      </c>
      <c r="R207" s="1">
        <f>+Q207*1000/'Material Properties'!AE$35</f>
        <v>325966.5684880018</v>
      </c>
      <c r="S207" s="1">
        <f aca="true" t="shared" si="173" ref="S207:S270">+R207/C207</f>
        <v>262.87626490967887</v>
      </c>
      <c r="T207" s="1">
        <f aca="true" t="shared" si="174" ref="T207:T270">+L207-L207*K207</f>
        <v>4.407761138565547</v>
      </c>
      <c r="U207">
        <f t="shared" si="162"/>
        <v>0.0016161051290861641</v>
      </c>
      <c r="V207">
        <f>+'Material Properties'!AE$31+'Material Properties'!AE$33</f>
        <v>0.00029034311030761144</v>
      </c>
      <c r="W207">
        <f t="shared" si="141"/>
        <v>0.0019064482393937755</v>
      </c>
      <c r="X207" s="1">
        <f>+'Volcano Summary'!E$12*10^9/Q207/3600/24/365</f>
        <v>0</v>
      </c>
      <c r="Y207" s="3">
        <f t="shared" si="142"/>
        <v>20</v>
      </c>
      <c r="Z207" s="1">
        <f>+Y207*'Volcano Summary'!B$19*'Volcano Summary'!B$20/1000</f>
        <v>810000</v>
      </c>
      <c r="AA207" s="1">
        <f t="shared" si="163"/>
        <v>2131031.4045275254</v>
      </c>
      <c r="AB207" s="3">
        <f t="shared" si="153"/>
        <v>591.9531679243127</v>
      </c>
      <c r="AC207" s="1">
        <f t="shared" si="143"/>
        <v>441527941.6674322</v>
      </c>
      <c r="AD207" s="36">
        <f t="shared" si="144"/>
        <v>122646.65046317561</v>
      </c>
      <c r="AE207" s="36">
        <f t="shared" si="150"/>
        <v>5110.277102632317</v>
      </c>
      <c r="AG207" s="1">
        <f t="shared" si="164"/>
        <v>810000000</v>
      </c>
      <c r="AH207" s="1">
        <f t="shared" si="145"/>
        <v>810000</v>
      </c>
      <c r="AI207" s="1">
        <f t="shared" si="146"/>
        <v>810810000</v>
      </c>
      <c r="AJ207" s="1">
        <f t="shared" si="147"/>
        <v>43070137438.24033</v>
      </c>
      <c r="AK207" s="1">
        <f t="shared" si="148"/>
        <v>43113207575.67857</v>
      </c>
      <c r="AL207" s="39">
        <f>+AJ207/('Volcano Summary'!C$8)*10^6</f>
        <v>2990.0528979120018</v>
      </c>
      <c r="AM207" s="1">
        <f t="shared" si="165"/>
        <v>5110.277102632317</v>
      </c>
    </row>
    <row r="208" spans="1:39" ht="12.75" hidden="1">
      <c r="A208" s="1">
        <f t="shared" si="149"/>
        <v>2131031.4045275254</v>
      </c>
      <c r="B208" s="1">
        <f t="shared" si="151"/>
        <v>5134.46487710959</v>
      </c>
      <c r="C208" s="1">
        <f t="shared" si="157"/>
        <v>1260</v>
      </c>
      <c r="D208" s="12">
        <f t="shared" si="166"/>
        <v>40.05348706874727</v>
      </c>
      <c r="E208" s="38">
        <f t="shared" si="158"/>
        <v>422875787.36022997</v>
      </c>
      <c r="F208" s="38">
        <f t="shared" si="159"/>
        <v>271887155.8487837</v>
      </c>
      <c r="G208" s="38">
        <f t="shared" si="160"/>
        <v>120898524.3373375</v>
      </c>
      <c r="H208" s="18">
        <f t="shared" si="167"/>
        <v>0.012483307611689505</v>
      </c>
      <c r="I208" s="50">
        <f t="shared" si="155"/>
        <v>0.042141102278171104</v>
      </c>
      <c r="J208" s="3">
        <f t="shared" si="168"/>
        <v>54.10603428340793</v>
      </c>
      <c r="K208" s="12">
        <f t="shared" si="156"/>
        <v>0.9947089645603574</v>
      </c>
      <c r="L208" s="3">
        <f t="shared" si="169"/>
        <v>1571.7190872047527</v>
      </c>
      <c r="M208" s="12">
        <v>0.718</v>
      </c>
      <c r="N208" s="37">
        <f t="shared" si="170"/>
        <v>1782.3571090929647</v>
      </c>
      <c r="O208" s="1">
        <f t="shared" si="161"/>
        <v>47289.12585291072</v>
      </c>
      <c r="P208">
        <f t="shared" si="171"/>
        <v>217.46063058151634</v>
      </c>
      <c r="Q208" s="1">
        <f t="shared" si="172"/>
        <v>387.5925008648046</v>
      </c>
      <c r="R208" s="1">
        <f>+Q208*1000/'Material Properties'!AE$35</f>
        <v>332394.0623998509</v>
      </c>
      <c r="S208" s="1">
        <f t="shared" si="173"/>
        <v>263.8048114284531</v>
      </c>
      <c r="T208" s="1">
        <f t="shared" si="174"/>
        <v>8.316021391563027</v>
      </c>
      <c r="U208">
        <f t="shared" si="162"/>
        <v>0.0009307595583331428</v>
      </c>
      <c r="V208">
        <f>+'Material Properties'!AE$31+'Material Properties'!AE$33</f>
        <v>0.00029034311030761144</v>
      </c>
      <c r="W208">
        <f t="shared" si="141"/>
        <v>0.0012211026686407543</v>
      </c>
      <c r="X208" s="1">
        <f>+'Volcano Summary'!E$12*10^9/Q208/3600/24/365</f>
        <v>0</v>
      </c>
      <c r="Y208" s="3">
        <f t="shared" si="142"/>
        <v>20</v>
      </c>
      <c r="Z208" s="1">
        <f>+Y208*'Volcano Summary'!B$19*'Volcano Summary'!B$20/1000</f>
        <v>810000</v>
      </c>
      <c r="AA208" s="1">
        <f t="shared" si="163"/>
        <v>2089823.7148363572</v>
      </c>
      <c r="AB208" s="3">
        <f t="shared" si="153"/>
        <v>580.5065874545437</v>
      </c>
      <c r="AC208" s="1">
        <f t="shared" si="143"/>
        <v>443617765.38226855</v>
      </c>
      <c r="AD208" s="36">
        <f t="shared" si="144"/>
        <v>123227.15705063015</v>
      </c>
      <c r="AE208" s="36">
        <f t="shared" si="150"/>
        <v>5134.46487710959</v>
      </c>
      <c r="AG208" s="1">
        <f t="shared" si="164"/>
        <v>809999999.9999999</v>
      </c>
      <c r="AH208" s="1">
        <f t="shared" si="145"/>
        <v>810000</v>
      </c>
      <c r="AI208" s="1">
        <f t="shared" si="146"/>
        <v>810809999.9999999</v>
      </c>
      <c r="AJ208" s="1">
        <f t="shared" si="147"/>
        <v>43880137438.24033</v>
      </c>
      <c r="AK208" s="1">
        <f t="shared" si="148"/>
        <v>43924017575.67857</v>
      </c>
      <c r="AL208" s="39">
        <f>+AJ208/('Volcano Summary'!C$8)*10^6</f>
        <v>3046.2854291125723</v>
      </c>
      <c r="AM208" s="1">
        <f t="shared" si="165"/>
        <v>5134.46487710959</v>
      </c>
    </row>
    <row r="209" spans="1:39" ht="12.75" hidden="1">
      <c r="A209" s="1">
        <f t="shared" si="149"/>
        <v>2089823.7148363572</v>
      </c>
      <c r="B209" s="1">
        <f t="shared" si="151"/>
        <v>5158.192074746264</v>
      </c>
      <c r="C209" s="1">
        <f t="shared" si="157"/>
        <v>1280</v>
      </c>
      <c r="D209" s="12">
        <f t="shared" si="166"/>
        <v>40.370120352322566</v>
      </c>
      <c r="E209" s="38">
        <f t="shared" si="158"/>
        <v>426218730.981257</v>
      </c>
      <c r="F209" s="38">
        <f t="shared" si="159"/>
        <v>274036494.87563515</v>
      </c>
      <c r="G209" s="38">
        <f t="shared" si="160"/>
        <v>121854258.77001333</v>
      </c>
      <c r="H209" s="18">
        <f t="shared" si="167"/>
        <v>0.012385397805018784</v>
      </c>
      <c r="I209" s="50">
        <f t="shared" si="155"/>
        <v>0.0420655366565592</v>
      </c>
      <c r="J209" s="3">
        <f t="shared" si="168"/>
        <v>53.59984053730855</v>
      </c>
      <c r="K209" s="12">
        <f t="shared" si="156"/>
        <v>0.9922792345790804</v>
      </c>
      <c r="L209" s="3">
        <f t="shared" si="169"/>
        <v>1567.8799210522543</v>
      </c>
      <c r="M209" s="12">
        <v>0.718</v>
      </c>
      <c r="N209" s="37">
        <f t="shared" si="170"/>
        <v>1810.6484917769806</v>
      </c>
      <c r="O209" s="1">
        <f t="shared" si="161"/>
        <v>47619.11972169415</v>
      </c>
      <c r="P209">
        <f t="shared" si="171"/>
        <v>218.21805544384762</v>
      </c>
      <c r="Q209" s="1">
        <f t="shared" si="172"/>
        <v>395.1161929679082</v>
      </c>
      <c r="R209" s="1">
        <f>+Q209*1000/'Material Properties'!AE$35</f>
        <v>338846.27852069016</v>
      </c>
      <c r="S209" s="1">
        <f t="shared" si="173"/>
        <v>264.7236550942892</v>
      </c>
      <c r="T209" s="1">
        <f t="shared" si="174"/>
        <v>12.105233078614447</v>
      </c>
      <c r="U209">
        <f t="shared" si="162"/>
        <v>0.0006595729540676462</v>
      </c>
      <c r="V209">
        <f>+'Material Properties'!AE$31+'Material Properties'!AE$33</f>
        <v>0.00029034311030761144</v>
      </c>
      <c r="W209">
        <f t="shared" si="141"/>
        <v>0.0009499160643752576</v>
      </c>
      <c r="X209" s="1">
        <f>+'Volcano Summary'!E$12*10^9/Q209/3600/24/365</f>
        <v>0</v>
      </c>
      <c r="Y209" s="3">
        <f t="shared" si="142"/>
        <v>20</v>
      </c>
      <c r="Z209" s="1">
        <f>+Y209*'Volcano Summary'!B$19*'Volcano Summary'!B$20/1000</f>
        <v>810000</v>
      </c>
      <c r="AA209" s="1">
        <f t="shared" si="163"/>
        <v>2050029.8758086816</v>
      </c>
      <c r="AB209" s="3">
        <f t="shared" si="153"/>
        <v>569.4527432801893</v>
      </c>
      <c r="AC209" s="1">
        <f t="shared" si="143"/>
        <v>445667795.2580772</v>
      </c>
      <c r="AD209" s="36">
        <f t="shared" si="144"/>
        <v>123796.60979391033</v>
      </c>
      <c r="AE209" s="36">
        <f t="shared" si="150"/>
        <v>5158.192074746264</v>
      </c>
      <c r="AG209" s="1">
        <f t="shared" si="164"/>
        <v>809999999.9999999</v>
      </c>
      <c r="AH209" s="1">
        <f t="shared" si="145"/>
        <v>810000</v>
      </c>
      <c r="AI209" s="1">
        <f t="shared" si="146"/>
        <v>810809999.9999999</v>
      </c>
      <c r="AJ209" s="1">
        <f t="shared" si="147"/>
        <v>44690137438.24033</v>
      </c>
      <c r="AK209" s="1">
        <f t="shared" si="148"/>
        <v>44734827575.67857</v>
      </c>
      <c r="AL209" s="39">
        <f>+AJ209/('Volcano Summary'!C$8)*10^6</f>
        <v>3102.5179603131437</v>
      </c>
      <c r="AM209" s="1">
        <f t="shared" si="165"/>
        <v>5158.192074746264</v>
      </c>
    </row>
    <row r="210" spans="1:39" ht="12.75" hidden="1">
      <c r="A210" s="1">
        <f t="shared" si="149"/>
        <v>2050029.8758086816</v>
      </c>
      <c r="B210" s="1">
        <f t="shared" si="151"/>
        <v>5181.474259554822</v>
      </c>
      <c r="C210" s="1">
        <f t="shared" si="157"/>
        <v>1300</v>
      </c>
      <c r="D210" s="12">
        <f t="shared" si="166"/>
        <v>40.68428945128219</v>
      </c>
      <c r="E210" s="38">
        <f t="shared" si="158"/>
        <v>429535658.2904517</v>
      </c>
      <c r="F210" s="38">
        <f t="shared" si="159"/>
        <v>276169106.7659581</v>
      </c>
      <c r="G210" s="38">
        <f t="shared" si="160"/>
        <v>122802555.24146454</v>
      </c>
      <c r="H210" s="18">
        <f t="shared" si="167"/>
        <v>0.01228975623621816</v>
      </c>
      <c r="I210" s="50">
        <f t="shared" si="155"/>
        <v>0.04199140690778041</v>
      </c>
      <c r="J210" s="3">
        <f t="shared" si="168"/>
        <v>53.106415491246864</v>
      </c>
      <c r="K210" s="12">
        <f t="shared" si="156"/>
        <v>0.9899107943579843</v>
      </c>
      <c r="L210" s="3">
        <f t="shared" si="169"/>
        <v>1564.137597583756</v>
      </c>
      <c r="M210" s="12">
        <v>0.718</v>
      </c>
      <c r="N210" s="37">
        <f t="shared" si="170"/>
        <v>1838.9398744609953</v>
      </c>
      <c r="O210" s="1">
        <f t="shared" si="161"/>
        <v>47946.84429020952</v>
      </c>
      <c r="P210">
        <f t="shared" si="171"/>
        <v>218.967678642784</v>
      </c>
      <c r="Q210" s="1">
        <f t="shared" si="172"/>
        <v>402.6683954743767</v>
      </c>
      <c r="R210" s="1">
        <f>+Q210*1000/'Material Properties'!AE$35</f>
        <v>345322.94477607525</v>
      </c>
      <c r="S210" s="1">
        <f t="shared" si="173"/>
        <v>265.6330344431348</v>
      </c>
      <c r="T210" s="1">
        <f t="shared" si="174"/>
        <v>15.7809058744308</v>
      </c>
      <c r="U210">
        <f t="shared" si="162"/>
        <v>0.0005142346623481983</v>
      </c>
      <c r="V210">
        <f>+'Material Properties'!AE$31+'Material Properties'!AE$33</f>
        <v>0.00029034311030761144</v>
      </c>
      <c r="W210">
        <f aca="true" t="shared" si="175" ref="W210:W242">+V210+U210</f>
        <v>0.0008045777726558098</v>
      </c>
      <c r="X210" s="1">
        <f>+'Volcano Summary'!E$12*10^9/Q210/3600/24/365</f>
        <v>0</v>
      </c>
      <c r="Y210" s="3">
        <f aca="true" t="shared" si="176" ref="Y210:Y242">+C211-C210</f>
        <v>20</v>
      </c>
      <c r="Z210" s="1">
        <f>+Y210*'Volcano Summary'!B$19*'Volcano Summary'!B$20/1000</f>
        <v>810000</v>
      </c>
      <c r="AA210" s="1">
        <f t="shared" si="163"/>
        <v>2011580.76745942</v>
      </c>
      <c r="AB210" s="3">
        <f t="shared" si="153"/>
        <v>558.7724354053945</v>
      </c>
      <c r="AC210" s="1">
        <f aca="true" t="shared" si="177" ref="AC210:AC242">+AC209+AA210</f>
        <v>447679376.0255366</v>
      </c>
      <c r="AD210" s="36">
        <f aca="true" t="shared" si="178" ref="AD210:AD242">+AD209+AB210</f>
        <v>124355.38222931573</v>
      </c>
      <c r="AE210" s="36">
        <f t="shared" si="150"/>
        <v>5181.474259554822</v>
      </c>
      <c r="AG210" s="1">
        <f t="shared" si="164"/>
        <v>810000000</v>
      </c>
      <c r="AH210" s="1">
        <f aca="true" t="shared" si="179" ref="AH210:AH242">+Z210</f>
        <v>810000</v>
      </c>
      <c r="AI210" s="1">
        <f aca="true" t="shared" si="180" ref="AI210:AI242">+AH210+AG210</f>
        <v>810810000</v>
      </c>
      <c r="AJ210" s="1">
        <f aca="true" t="shared" si="181" ref="AJ210:AJ242">+AJ209+AG210</f>
        <v>45500137438.24033</v>
      </c>
      <c r="AK210" s="1">
        <f aca="true" t="shared" si="182" ref="AK210:AK242">+AK209+AI210</f>
        <v>45545637575.67857</v>
      </c>
      <c r="AL210" s="39">
        <f>+AJ210/('Volcano Summary'!C$8)*10^6</f>
        <v>3158.750491513714</v>
      </c>
      <c r="AM210" s="1">
        <f t="shared" si="165"/>
        <v>5181.474259554822</v>
      </c>
    </row>
    <row r="211" spans="1:39" ht="12.75" hidden="1">
      <c r="A211" s="1">
        <f t="shared" si="149"/>
        <v>2011580.76745942</v>
      </c>
      <c r="B211" s="1">
        <f t="shared" si="151"/>
        <v>5204.326246008979</v>
      </c>
      <c r="C211" s="1">
        <f t="shared" si="157"/>
        <v>1320</v>
      </c>
      <c r="D211" s="12">
        <f t="shared" si="166"/>
        <v>40.99605101775554</v>
      </c>
      <c r="E211" s="38">
        <f t="shared" si="158"/>
        <v>432827167.4083668</v>
      </c>
      <c r="F211" s="38">
        <f t="shared" si="159"/>
        <v>278285376.0801857</v>
      </c>
      <c r="G211" s="38">
        <f t="shared" si="160"/>
        <v>123743584.75200458</v>
      </c>
      <c r="H211" s="18">
        <f t="shared" si="167"/>
        <v>0.012196296657535336</v>
      </c>
      <c r="I211" s="50">
        <f t="shared" si="155"/>
        <v>0.04191866382929772</v>
      </c>
      <c r="J211" s="3">
        <f t="shared" si="168"/>
        <v>52.625245954961116</v>
      </c>
      <c r="K211" s="12">
        <f t="shared" si="156"/>
        <v>0.9876011805838127</v>
      </c>
      <c r="L211" s="3">
        <f t="shared" si="169"/>
        <v>1560.488224568865</v>
      </c>
      <c r="M211" s="12">
        <v>0.718</v>
      </c>
      <c r="N211" s="37">
        <f t="shared" si="170"/>
        <v>1867.231257145011</v>
      </c>
      <c r="O211" s="1">
        <f t="shared" si="161"/>
        <v>48272.34751281678</v>
      </c>
      <c r="P211">
        <f t="shared" si="171"/>
        <v>219.70968916462647</v>
      </c>
      <c r="Q211" s="1">
        <f t="shared" si="172"/>
        <v>410.2487991058051</v>
      </c>
      <c r="R211" s="1">
        <f>+Q211*1000/'Material Properties'!AE$35</f>
        <v>351823.79593304836</v>
      </c>
      <c r="S211" s="1">
        <f t="shared" si="173"/>
        <v>266.53317873715787</v>
      </c>
      <c r="T211" s="1">
        <f t="shared" si="174"/>
        <v>19.348211697516035</v>
      </c>
      <c r="U211">
        <f t="shared" si="162"/>
        <v>0.00042363741194252234</v>
      </c>
      <c r="V211">
        <f>+'Material Properties'!AE$31+'Material Properties'!AE$33</f>
        <v>0.00029034311030761144</v>
      </c>
      <c r="W211">
        <f t="shared" si="175"/>
        <v>0.0007139805222501338</v>
      </c>
      <c r="X211" s="1">
        <f>+'Volcano Summary'!E$12*10^9/Q211/3600/24/365</f>
        <v>0</v>
      </c>
      <c r="Y211" s="3">
        <f t="shared" si="176"/>
        <v>20</v>
      </c>
      <c r="Z211" s="1">
        <f>+Y211*'Volcano Summary'!B$19*'Volcano Summary'!B$20/1000</f>
        <v>810000</v>
      </c>
      <c r="AA211" s="1">
        <f t="shared" si="163"/>
        <v>1974411.6296391573</v>
      </c>
      <c r="AB211" s="3">
        <f t="shared" si="153"/>
        <v>548.447674899766</v>
      </c>
      <c r="AC211" s="1">
        <f t="shared" si="177"/>
        <v>449653787.65517575</v>
      </c>
      <c r="AD211" s="36">
        <f t="shared" si="178"/>
        <v>124903.8299042155</v>
      </c>
      <c r="AE211" s="36">
        <f t="shared" si="150"/>
        <v>5204.326246008979</v>
      </c>
      <c r="AG211" s="1">
        <f t="shared" si="164"/>
        <v>810000000</v>
      </c>
      <c r="AH211" s="1">
        <f t="shared" si="179"/>
        <v>810000</v>
      </c>
      <c r="AI211" s="1">
        <f t="shared" si="180"/>
        <v>810810000</v>
      </c>
      <c r="AJ211" s="1">
        <f t="shared" si="181"/>
        <v>46310137438.24033</v>
      </c>
      <c r="AK211" s="1">
        <f t="shared" si="182"/>
        <v>46356447575.67857</v>
      </c>
      <c r="AL211" s="39">
        <f>+AJ211/('Volcano Summary'!C$8)*10^6</f>
        <v>3214.983022714285</v>
      </c>
      <c r="AM211" s="1">
        <f t="shared" si="165"/>
        <v>5204.326246008979</v>
      </c>
    </row>
    <row r="212" spans="1:39" ht="12.75" hidden="1">
      <c r="A212" s="1">
        <f t="shared" si="149"/>
        <v>1974411.6296391573</v>
      </c>
      <c r="B212" s="1">
        <f t="shared" si="151"/>
        <v>5226.762145625349</v>
      </c>
      <c r="C212" s="1">
        <f t="shared" si="157"/>
        <v>1340</v>
      </c>
      <c r="D212" s="12">
        <f t="shared" si="166"/>
        <v>41.30545956583848</v>
      </c>
      <c r="E212" s="38">
        <f t="shared" si="158"/>
        <v>436093833.88267374</v>
      </c>
      <c r="F212" s="38">
        <f t="shared" si="159"/>
        <v>280385672.8655613</v>
      </c>
      <c r="G212" s="38">
        <f t="shared" si="160"/>
        <v>124677511.84844892</v>
      </c>
      <c r="H212" s="18">
        <f t="shared" si="167"/>
        <v>0.012104937343767578</v>
      </c>
      <c r="I212" s="50">
        <f t="shared" si="155"/>
        <v>0.041847260627353076</v>
      </c>
      <c r="J212" s="3">
        <f t="shared" si="168"/>
        <v>52.155846790242094</v>
      </c>
      <c r="K212" s="12">
        <f t="shared" si="156"/>
        <v>0.9853480645931614</v>
      </c>
      <c r="L212" s="3">
        <f t="shared" si="169"/>
        <v>1556.9281225346404</v>
      </c>
      <c r="M212" s="12">
        <v>0.718</v>
      </c>
      <c r="N212" s="37">
        <f t="shared" si="170"/>
        <v>1895.5226398290263</v>
      </c>
      <c r="O212" s="1">
        <f t="shared" si="161"/>
        <v>48595.67562722847</v>
      </c>
      <c r="P212">
        <f t="shared" si="171"/>
        <v>220.44426875568453</v>
      </c>
      <c r="Q212" s="1">
        <f t="shared" si="172"/>
        <v>417.85710224695447</v>
      </c>
      <c r="R212" s="1">
        <f>+Q212*1000/'Material Properties'!AE$35</f>
        <v>358348.5733304787</v>
      </c>
      <c r="S212" s="1">
        <f t="shared" si="173"/>
        <v>267.4243084555811</v>
      </c>
      <c r="T212" s="1">
        <f t="shared" si="174"/>
        <v>22.812010284467988</v>
      </c>
      <c r="U212">
        <f t="shared" si="162"/>
        <v>0.00036175338560892736</v>
      </c>
      <c r="V212">
        <f>+'Material Properties'!AE$31+'Material Properties'!AE$33</f>
        <v>0.00029034311030761144</v>
      </c>
      <c r="W212">
        <f t="shared" si="175"/>
        <v>0.0006520964959165387</v>
      </c>
      <c r="X212" s="1">
        <f>+'Volcano Summary'!E$12*10^9/Q212/3600/24/365</f>
        <v>0</v>
      </c>
      <c r="Y212" s="3">
        <f t="shared" si="176"/>
        <v>20</v>
      </c>
      <c r="Z212" s="1">
        <f>+Y212*'Volcano Summary'!B$19*'Volcano Summary'!B$20/1000</f>
        <v>810000</v>
      </c>
      <c r="AA212" s="1">
        <f t="shared" si="163"/>
        <v>1938461.7268543832</v>
      </c>
      <c r="AB212" s="3">
        <f t="shared" si="153"/>
        <v>538.4615907928842</v>
      </c>
      <c r="AC212" s="1">
        <f t="shared" si="177"/>
        <v>451592249.3820301</v>
      </c>
      <c r="AD212" s="36">
        <f t="shared" si="178"/>
        <v>125442.29149500838</v>
      </c>
      <c r="AE212" s="36">
        <f t="shared" si="150"/>
        <v>5226.762145625349</v>
      </c>
      <c r="AG212" s="1">
        <f t="shared" si="164"/>
        <v>810000000</v>
      </c>
      <c r="AH212" s="1">
        <f t="shared" si="179"/>
        <v>810000</v>
      </c>
      <c r="AI212" s="1">
        <f t="shared" si="180"/>
        <v>810810000</v>
      </c>
      <c r="AJ212" s="1">
        <f t="shared" si="181"/>
        <v>47120137438.24033</v>
      </c>
      <c r="AK212" s="1">
        <f t="shared" si="182"/>
        <v>47167257575.67857</v>
      </c>
      <c r="AL212" s="39">
        <f>+AJ212/('Volcano Summary'!C$8)*10^6</f>
        <v>3271.2155539148557</v>
      </c>
      <c r="AM212" s="1">
        <f t="shared" si="165"/>
        <v>5226.762145625349</v>
      </c>
    </row>
    <row r="213" spans="1:39" ht="12.75" hidden="1">
      <c r="A213" s="1">
        <f t="shared" si="149"/>
        <v>1938461.7268543832</v>
      </c>
      <c r="B213" s="1">
        <f t="shared" si="151"/>
        <v>5248.795410016038</v>
      </c>
      <c r="C213" s="1">
        <f t="shared" si="157"/>
        <v>1360</v>
      </c>
      <c r="D213" s="12">
        <f t="shared" si="166"/>
        <v>41.61256758288079</v>
      </c>
      <c r="E213" s="38">
        <f t="shared" si="158"/>
        <v>439336211.86311024</v>
      </c>
      <c r="F213" s="38">
        <f t="shared" si="159"/>
        <v>282470353.4115691</v>
      </c>
      <c r="G213" s="38">
        <f t="shared" si="160"/>
        <v>125604494.96002804</v>
      </c>
      <c r="H213" s="18">
        <f t="shared" si="167"/>
        <v>0.012015600791855428</v>
      </c>
      <c r="I213" s="50">
        <f t="shared" si="155"/>
        <v>0.041777152764823335</v>
      </c>
      <c r="J213" s="3">
        <f t="shared" si="168"/>
        <v>51.69775898424764</v>
      </c>
      <c r="K213" s="12">
        <f t="shared" si="156"/>
        <v>0.9831492431243881</v>
      </c>
      <c r="L213" s="3">
        <f t="shared" si="169"/>
        <v>1553.4538101528735</v>
      </c>
      <c r="M213" s="12">
        <v>0.718</v>
      </c>
      <c r="N213" s="37">
        <f t="shared" si="170"/>
        <v>1923.814022513042</v>
      </c>
      <c r="O213" s="1">
        <f t="shared" si="161"/>
        <v>48916.87324047844</v>
      </c>
      <c r="P213">
        <f t="shared" si="171"/>
        <v>221.17159229991188</v>
      </c>
      <c r="Q213" s="1">
        <f t="shared" si="172"/>
        <v>425.493010648108</v>
      </c>
      <c r="R213" s="1">
        <f>+Q213*1000/'Material Properties'!AE$35</f>
        <v>364897.0246238072</v>
      </c>
      <c r="S213" s="1">
        <f t="shared" si="173"/>
        <v>268.3066357527994</v>
      </c>
      <c r="T213" s="1">
        <f t="shared" si="174"/>
        <v>26.176872472379046</v>
      </c>
      <c r="U213">
        <f t="shared" si="162"/>
        <v>0.0003167980352513114</v>
      </c>
      <c r="V213">
        <f>+'Material Properties'!AE$31+'Material Properties'!AE$33</f>
        <v>0.00029034311030761144</v>
      </c>
      <c r="W213">
        <f t="shared" si="175"/>
        <v>0.0006071411455589228</v>
      </c>
      <c r="X213" s="1">
        <f>+'Volcano Summary'!E$12*10^9/Q213/3600/24/365</f>
        <v>0</v>
      </c>
      <c r="Y213" s="3">
        <f t="shared" si="176"/>
        <v>20</v>
      </c>
      <c r="Z213" s="1">
        <f>+Y213*'Volcano Summary'!B$19*'Volcano Summary'!B$20/1000</f>
        <v>810000</v>
      </c>
      <c r="AA213" s="1">
        <f t="shared" si="163"/>
        <v>1903674.0433555269</v>
      </c>
      <c r="AB213" s="3">
        <f t="shared" si="153"/>
        <v>528.7983453765353</v>
      </c>
      <c r="AC213" s="1">
        <f t="shared" si="177"/>
        <v>453495923.42538565</v>
      </c>
      <c r="AD213" s="36">
        <f t="shared" si="178"/>
        <v>125971.08984038491</v>
      </c>
      <c r="AE213" s="36">
        <f t="shared" si="150"/>
        <v>5248.795410016038</v>
      </c>
      <c r="AG213" s="1">
        <f t="shared" si="164"/>
        <v>810000000</v>
      </c>
      <c r="AH213" s="1">
        <f t="shared" si="179"/>
        <v>810000</v>
      </c>
      <c r="AI213" s="1">
        <f t="shared" si="180"/>
        <v>810810000</v>
      </c>
      <c r="AJ213" s="1">
        <f t="shared" si="181"/>
        <v>47930137438.24033</v>
      </c>
      <c r="AK213" s="1">
        <f t="shared" si="182"/>
        <v>47978067575.67857</v>
      </c>
      <c r="AL213" s="39">
        <f>+AJ213/('Volcano Summary'!C$8)*10^6</f>
        <v>3327.4480851154267</v>
      </c>
      <c r="AM213" s="1">
        <f t="shared" si="165"/>
        <v>5248.795410016038</v>
      </c>
    </row>
    <row r="214" spans="1:39" ht="12.75" hidden="1">
      <c r="A214" s="1">
        <f t="shared" si="149"/>
        <v>1903674.0433555269</v>
      </c>
      <c r="B214" s="1">
        <f t="shared" si="151"/>
        <v>5270.438870726274</v>
      </c>
      <c r="C214" s="1">
        <f t="shared" si="157"/>
        <v>1380</v>
      </c>
      <c r="D214" s="12">
        <f t="shared" si="166"/>
        <v>41.917425633434654</v>
      </c>
      <c r="E214" s="38">
        <f t="shared" si="158"/>
        <v>442554835.19894606</v>
      </c>
      <c r="F214" s="38">
        <f t="shared" si="159"/>
        <v>284539760.95554715</v>
      </c>
      <c r="G214" s="38">
        <f t="shared" si="160"/>
        <v>126524686.71214837</v>
      </c>
      <c r="H214" s="18">
        <f t="shared" si="167"/>
        <v>0.011928213444510397</v>
      </c>
      <c r="I214" s="50">
        <f t="shared" si="155"/>
        <v>0.04170829782078017</v>
      </c>
      <c r="J214" s="3">
        <f t="shared" si="168"/>
        <v>51.25054788134737</v>
      </c>
      <c r="K214" s="12">
        <f t="shared" si="156"/>
        <v>0.9810026298304668</v>
      </c>
      <c r="L214" s="3">
        <f t="shared" si="169"/>
        <v>1550.0619908297263</v>
      </c>
      <c r="M214" s="12">
        <v>0.718</v>
      </c>
      <c r="N214" s="37">
        <f t="shared" si="170"/>
        <v>1952.1054051970573</v>
      </c>
      <c r="O214" s="1">
        <f t="shared" si="161"/>
        <v>49235.98340939193</v>
      </c>
      <c r="P214">
        <f t="shared" si="171"/>
        <v>221.8918281717286</v>
      </c>
      <c r="Q214" s="1">
        <f t="shared" si="172"/>
        <v>433.15623714308805</v>
      </c>
      <c r="R214" s="1">
        <f>+Q214*1000/'Material Properties'!AE$35</f>
        <v>371468.9035432219</v>
      </c>
      <c r="S214" s="1">
        <f t="shared" si="173"/>
        <v>269.1803648863927</v>
      </c>
      <c r="T214" s="1">
        <f t="shared" si="174"/>
        <v>29.44710142551594</v>
      </c>
      <c r="U214">
        <f t="shared" si="162"/>
        <v>0.0002826596148252786</v>
      </c>
      <c r="V214">
        <f>+'Material Properties'!AE$31+'Material Properties'!AE$33</f>
        <v>0.00029034311030761144</v>
      </c>
      <c r="W214">
        <f t="shared" si="175"/>
        <v>0.0005730027251328901</v>
      </c>
      <c r="X214" s="1">
        <f>+'Volcano Summary'!E$12*10^9/Q214/3600/24/365</f>
        <v>0</v>
      </c>
      <c r="Y214" s="3">
        <f t="shared" si="176"/>
        <v>20</v>
      </c>
      <c r="Z214" s="1">
        <f>+Y214*'Volcano Summary'!B$19*'Volcano Summary'!B$20/1000</f>
        <v>810000</v>
      </c>
      <c r="AA214" s="1">
        <f t="shared" si="163"/>
        <v>1869995.0053643717</v>
      </c>
      <c r="AB214" s="3">
        <f t="shared" si="153"/>
        <v>519.4430570456589</v>
      </c>
      <c r="AC214" s="1">
        <f t="shared" si="177"/>
        <v>455365918.43075</v>
      </c>
      <c r="AD214" s="36">
        <f t="shared" si="178"/>
        <v>126490.53289743057</v>
      </c>
      <c r="AE214" s="36">
        <f t="shared" si="150"/>
        <v>5270.438870726274</v>
      </c>
      <c r="AG214" s="1">
        <f t="shared" si="164"/>
        <v>810000000</v>
      </c>
      <c r="AH214" s="1">
        <f t="shared" si="179"/>
        <v>810000</v>
      </c>
      <c r="AI214" s="1">
        <f t="shared" si="180"/>
        <v>810810000</v>
      </c>
      <c r="AJ214" s="1">
        <f t="shared" si="181"/>
        <v>48740137438.24033</v>
      </c>
      <c r="AK214" s="1">
        <f t="shared" si="182"/>
        <v>48788877575.67857</v>
      </c>
      <c r="AL214" s="39">
        <f>+AJ214/('Volcano Summary'!C$8)*10^6</f>
        <v>3383.680616315997</v>
      </c>
      <c r="AM214" s="1">
        <f t="shared" si="165"/>
        <v>5270.438870726274</v>
      </c>
    </row>
    <row r="215" spans="1:39" ht="12.75" hidden="1">
      <c r="A215" s="1">
        <f t="shared" si="149"/>
        <v>1869995.0053643717</v>
      </c>
      <c r="B215" s="1">
        <f t="shared" si="151"/>
        <v>5291.704776139184</v>
      </c>
      <c r="C215" s="1">
        <f t="shared" si="157"/>
        <v>1400</v>
      </c>
      <c r="D215" s="12">
        <f t="shared" si="166"/>
        <v>42.22008245644752</v>
      </c>
      <c r="E215" s="38">
        <f t="shared" si="158"/>
        <v>445750218.46512306</v>
      </c>
      <c r="F215" s="38">
        <f t="shared" si="159"/>
        <v>286594226.3424424</v>
      </c>
      <c r="G215" s="38">
        <f t="shared" si="160"/>
        <v>127438234.21976182</v>
      </c>
      <c r="H215" s="18">
        <f t="shared" si="167"/>
        <v>0.011842705435636683</v>
      </c>
      <c r="I215" s="50">
        <f t="shared" si="155"/>
        <v>0.04164065536069723</v>
      </c>
      <c r="J215" s="3">
        <f t="shared" si="168"/>
        <v>50.81380155836028</v>
      </c>
      <c r="K215" s="12">
        <f t="shared" si="156"/>
        <v>0.9789062474801288</v>
      </c>
      <c r="L215" s="3">
        <f t="shared" si="169"/>
        <v>1546.7495403829146</v>
      </c>
      <c r="M215" s="12">
        <v>0.718</v>
      </c>
      <c r="N215" s="37">
        <f t="shared" si="170"/>
        <v>1980.396787881072</v>
      </c>
      <c r="O215" s="1">
        <f t="shared" si="161"/>
        <v>49553.04771598328</v>
      </c>
      <c r="P215">
        <f t="shared" si="171"/>
        <v>222.60513856598925</v>
      </c>
      <c r="Q215" s="1">
        <f t="shared" si="172"/>
        <v>440.846501381906</v>
      </c>
      <c r="R215" s="1">
        <f>+Q215*1000/'Material Properties'!AE$35</f>
        <v>378063.96966438147</v>
      </c>
      <c r="S215" s="1">
        <f t="shared" si="173"/>
        <v>270.04569261741534</v>
      </c>
      <c r="T215" s="1">
        <f t="shared" si="174"/>
        <v>32.62675201506181</v>
      </c>
      <c r="U215">
        <f t="shared" si="162"/>
        <v>0.0002558524009765813</v>
      </c>
      <c r="V215">
        <f>+'Material Properties'!AE$31+'Material Properties'!AE$33</f>
        <v>0.00029034311030761144</v>
      </c>
      <c r="W215">
        <f t="shared" si="175"/>
        <v>0.0005461955112841927</v>
      </c>
      <c r="X215" s="1">
        <f>+'Volcano Summary'!E$12*10^9/Q215/3600/24/365</f>
        <v>0</v>
      </c>
      <c r="Y215" s="3">
        <f t="shared" si="176"/>
        <v>20</v>
      </c>
      <c r="Z215" s="1">
        <f>+Y215*'Volcano Summary'!B$19*'Volcano Summary'!B$20/1000</f>
        <v>810000</v>
      </c>
      <c r="AA215" s="1">
        <f t="shared" si="163"/>
        <v>1837374.2276754414</v>
      </c>
      <c r="AB215" s="3">
        <f t="shared" si="153"/>
        <v>510.38172990984486</v>
      </c>
      <c r="AC215" s="1">
        <f t="shared" si="177"/>
        <v>457203292.65842545</v>
      </c>
      <c r="AD215" s="36">
        <f t="shared" si="178"/>
        <v>127000.91462734042</v>
      </c>
      <c r="AE215" s="36">
        <f t="shared" si="150"/>
        <v>5291.704776139184</v>
      </c>
      <c r="AG215" s="1">
        <f t="shared" si="164"/>
        <v>810000000</v>
      </c>
      <c r="AH215" s="1">
        <f t="shared" si="179"/>
        <v>810000</v>
      </c>
      <c r="AI215" s="1">
        <f t="shared" si="180"/>
        <v>810810000</v>
      </c>
      <c r="AJ215" s="1">
        <f t="shared" si="181"/>
        <v>49550137438.24033</v>
      </c>
      <c r="AK215" s="1">
        <f t="shared" si="182"/>
        <v>49599687575.67857</v>
      </c>
      <c r="AL215" s="39">
        <f>+AJ215/('Volcano Summary'!C$8)*10^6</f>
        <v>3439.913147516568</v>
      </c>
      <c r="AM215" s="1">
        <f t="shared" si="165"/>
        <v>5291.704776139184</v>
      </c>
    </row>
    <row r="216" spans="1:39" ht="12.75" hidden="1">
      <c r="A216" s="1">
        <f t="shared" si="149"/>
        <v>1837374.2276754414</v>
      </c>
      <c r="B216" s="1">
        <f t="shared" si="151"/>
        <v>5312.604825701481</v>
      </c>
      <c r="C216" s="1">
        <f t="shared" si="157"/>
        <v>1420</v>
      </c>
      <c r="D216" s="12">
        <f t="shared" si="166"/>
        <v>42.52058505622813</v>
      </c>
      <c r="E216" s="38">
        <f t="shared" si="158"/>
        <v>448922857.92265415</v>
      </c>
      <c r="F216" s="38">
        <f t="shared" si="159"/>
        <v>288634068.6422971</v>
      </c>
      <c r="G216" s="38">
        <f t="shared" si="160"/>
        <v>128345279.36194013</v>
      </c>
      <c r="H216" s="18">
        <f t="shared" si="167"/>
        <v>0.011759010355544565</v>
      </c>
      <c r="I216" s="50">
        <f t="shared" si="155"/>
        <v>0.041574186816357044</v>
      </c>
      <c r="J216" s="3">
        <f t="shared" si="168"/>
        <v>50.387129329688676</v>
      </c>
      <c r="K216" s="12">
        <f t="shared" si="156"/>
        <v>0.9768582207825051</v>
      </c>
      <c r="L216" s="3">
        <f t="shared" si="169"/>
        <v>1543.5134957040746</v>
      </c>
      <c r="M216" s="12">
        <v>0.718</v>
      </c>
      <c r="N216" s="37">
        <f t="shared" si="170"/>
        <v>2008.6881705650871</v>
      </c>
      <c r="O216" s="1">
        <f t="shared" si="161"/>
        <v>49868.10633816823</v>
      </c>
      <c r="P216">
        <f t="shared" si="171"/>
        <v>223.31167980687493</v>
      </c>
      <c r="Q216" s="1">
        <f t="shared" si="172"/>
        <v>448.56352957708816</v>
      </c>
      <c r="R216" s="1">
        <f>+Q216*1000/'Material Properties'!AE$35</f>
        <v>384681.98819086864</v>
      </c>
      <c r="S216" s="1">
        <f t="shared" si="173"/>
        <v>270.90280858511875</v>
      </c>
      <c r="T216" s="1">
        <f t="shared" si="174"/>
        <v>35.719648536807426</v>
      </c>
      <c r="U216">
        <f t="shared" si="162"/>
        <v>0.0002342431001591431</v>
      </c>
      <c r="V216">
        <f>+'Material Properties'!AE$31+'Material Properties'!AE$33</f>
        <v>0.00029034311030761144</v>
      </c>
      <c r="W216">
        <f t="shared" si="175"/>
        <v>0.0005245862104667545</v>
      </c>
      <c r="X216" s="1">
        <f>+'Volcano Summary'!E$12*10^9/Q216/3600/24/365</f>
        <v>0</v>
      </c>
      <c r="Y216" s="3">
        <f t="shared" si="176"/>
        <v>20</v>
      </c>
      <c r="Z216" s="1">
        <f>+Y216*'Volcano Summary'!B$19*'Volcano Summary'!B$20/1000</f>
        <v>810000</v>
      </c>
      <c r="AA216" s="1">
        <f t="shared" si="163"/>
        <v>1805764.2821824572</v>
      </c>
      <c r="AB216" s="3">
        <f t="shared" si="153"/>
        <v>501.601189495127</v>
      </c>
      <c r="AC216" s="1">
        <f t="shared" si="177"/>
        <v>459009056.9406079</v>
      </c>
      <c r="AD216" s="36">
        <f t="shared" si="178"/>
        <v>127502.51581683554</v>
      </c>
      <c r="AE216" s="36">
        <f t="shared" si="150"/>
        <v>5312.604825701481</v>
      </c>
      <c r="AG216" s="1">
        <f t="shared" si="164"/>
        <v>810000000</v>
      </c>
      <c r="AH216" s="1">
        <f t="shared" si="179"/>
        <v>810000</v>
      </c>
      <c r="AI216" s="1">
        <f t="shared" si="180"/>
        <v>810810000</v>
      </c>
      <c r="AJ216" s="1">
        <f t="shared" si="181"/>
        <v>50360137438.24033</v>
      </c>
      <c r="AK216" s="1">
        <f t="shared" si="182"/>
        <v>50410497575.67857</v>
      </c>
      <c r="AL216" s="39">
        <f>+AJ216/('Volcano Summary'!C$8)*10^6</f>
        <v>3496.1456787171387</v>
      </c>
      <c r="AM216" s="1">
        <f t="shared" si="165"/>
        <v>5312.604825701481</v>
      </c>
    </row>
    <row r="217" spans="1:39" ht="12.75" hidden="1">
      <c r="A217" s="1">
        <f t="shared" si="149"/>
        <v>1805764.2821824572</v>
      </c>
      <c r="B217" s="1">
        <f t="shared" si="151"/>
        <v>5333.150201698672</v>
      </c>
      <c r="C217" s="1">
        <f t="shared" si="157"/>
        <v>1440</v>
      </c>
      <c r="D217" s="12">
        <f t="shared" si="166"/>
        <v>42.81897878766651</v>
      </c>
      <c r="E217" s="38">
        <f t="shared" si="158"/>
        <v>452073232.41835743</v>
      </c>
      <c r="F217" s="38">
        <f t="shared" si="159"/>
        <v>290659595.7287313</v>
      </c>
      <c r="G217" s="38">
        <f t="shared" si="160"/>
        <v>129245959.03910512</v>
      </c>
      <c r="H217" s="18">
        <f t="shared" si="167"/>
        <v>0.01167706503416235</v>
      </c>
      <c r="I217" s="50">
        <f t="shared" si="155"/>
        <v>0.04150885537460673</v>
      </c>
      <c r="J217" s="3">
        <f t="shared" si="168"/>
        <v>49.97016037029222</v>
      </c>
      <c r="K217" s="12">
        <f t="shared" si="156"/>
        <v>0.9748567697774021</v>
      </c>
      <c r="L217" s="3">
        <f t="shared" si="169"/>
        <v>1540.3510443148725</v>
      </c>
      <c r="M217" s="12">
        <v>0.718</v>
      </c>
      <c r="N217" s="37">
        <f t="shared" si="170"/>
        <v>2036.9795532491025</v>
      </c>
      <c r="O217" s="1">
        <f t="shared" si="161"/>
        <v>50181.19811614351</v>
      </c>
      <c r="P217">
        <f t="shared" si="171"/>
        <v>224.0116026373266</v>
      </c>
      <c r="Q217" s="1">
        <f t="shared" si="172"/>
        <v>456.307054262797</v>
      </c>
      <c r="R217" s="1">
        <f>+Q217*1000/'Material Properties'!AE$35</f>
        <v>391322.72974761535</v>
      </c>
      <c r="S217" s="1">
        <f t="shared" si="173"/>
        <v>271.7518956580662</v>
      </c>
      <c r="T217" s="1">
        <f t="shared" si="174"/>
        <v>38.72940093082798</v>
      </c>
      <c r="U217">
        <f t="shared" si="162"/>
        <v>0.00021645293137215185</v>
      </c>
      <c r="V217">
        <f>+'Material Properties'!AE$31+'Material Properties'!AE$33</f>
        <v>0.00029034311030761144</v>
      </c>
      <c r="W217">
        <f t="shared" si="175"/>
        <v>0.0005067960416797633</v>
      </c>
      <c r="X217" s="1">
        <f>+'Volcano Summary'!E$12*10^9/Q217/3600/24/365</f>
        <v>0</v>
      </c>
      <c r="Y217" s="3">
        <f t="shared" si="176"/>
        <v>20</v>
      </c>
      <c r="Z217" s="1">
        <f>+Y217*'Volcano Summary'!B$19*'Volcano Summary'!B$20/1000</f>
        <v>810000</v>
      </c>
      <c r="AA217" s="1">
        <f t="shared" si="163"/>
        <v>1775120.4861573402</v>
      </c>
      <c r="AB217" s="3">
        <f t="shared" si="153"/>
        <v>493.0890239325945</v>
      </c>
      <c r="AC217" s="1">
        <f t="shared" si="177"/>
        <v>460784177.42676526</v>
      </c>
      <c r="AD217" s="36">
        <f t="shared" si="178"/>
        <v>127995.60484076814</v>
      </c>
      <c r="AE217" s="36">
        <f t="shared" si="150"/>
        <v>5333.150201698672</v>
      </c>
      <c r="AG217" s="1">
        <f t="shared" si="164"/>
        <v>810000000</v>
      </c>
      <c r="AH217" s="1">
        <f t="shared" si="179"/>
        <v>810000</v>
      </c>
      <c r="AI217" s="1">
        <f t="shared" si="180"/>
        <v>810810000</v>
      </c>
      <c r="AJ217" s="1">
        <f t="shared" si="181"/>
        <v>51170137438.24033</v>
      </c>
      <c r="AK217" s="1">
        <f t="shared" si="182"/>
        <v>51221307575.67857</v>
      </c>
      <c r="AL217" s="39">
        <f>+AJ217/('Volcano Summary'!C$8)*10^6</f>
        <v>3552.3782099177097</v>
      </c>
      <c r="AM217" s="1">
        <f t="shared" si="165"/>
        <v>5333.150201698672</v>
      </c>
    </row>
    <row r="218" spans="1:39" ht="12.75" hidden="1">
      <c r="A218" s="1">
        <f t="shared" si="149"/>
        <v>1775120.4861573402</v>
      </c>
      <c r="B218" s="1">
        <f t="shared" si="151"/>
        <v>5353.351598786069</v>
      </c>
      <c r="C218" s="1">
        <f t="shared" si="157"/>
        <v>1460</v>
      </c>
      <c r="D218" s="12">
        <f t="shared" si="166"/>
        <v>43.115307436145436</v>
      </c>
      <c r="E218" s="38">
        <f t="shared" si="158"/>
        <v>455201804.22854316</v>
      </c>
      <c r="F218" s="38">
        <f t="shared" si="159"/>
        <v>292671104.82138944</v>
      </c>
      <c r="G218" s="38">
        <f t="shared" si="160"/>
        <v>130140405.4142357</v>
      </c>
      <c r="H218" s="18">
        <f t="shared" si="167"/>
        <v>0.011596809340638687</v>
      </c>
      <c r="I218" s="50">
        <f t="shared" si="155"/>
        <v>0.04144462587419669</v>
      </c>
      <c r="J218" s="3">
        <f t="shared" si="168"/>
        <v>49.562542445716</v>
      </c>
      <c r="K218" s="12">
        <f t="shared" si="156"/>
        <v>0.9729002037394362</v>
      </c>
      <c r="L218" s="3">
        <f t="shared" si="169"/>
        <v>1537.2595147350555</v>
      </c>
      <c r="M218" s="12">
        <v>0.718</v>
      </c>
      <c r="N218" s="37">
        <f t="shared" si="170"/>
        <v>2065.2709359331184</v>
      </c>
      <c r="O218" s="1">
        <f t="shared" si="161"/>
        <v>50492.36061475554</v>
      </c>
      <c r="P218">
        <f t="shared" si="171"/>
        <v>224.70505249049373</v>
      </c>
      <c r="Q218" s="1">
        <f t="shared" si="172"/>
        <v>464.0768140659425</v>
      </c>
      <c r="R218" s="1">
        <f>+Q218*1000/'Material Properties'!AE$35</f>
        <v>397985.9701846109</v>
      </c>
      <c r="S218" s="1">
        <f t="shared" si="173"/>
        <v>272.59313026343216</v>
      </c>
      <c r="T218" s="1">
        <f t="shared" si="174"/>
        <v>41.65941964893318</v>
      </c>
      <c r="U218">
        <f t="shared" si="162"/>
        <v>0.00020155115062089475</v>
      </c>
      <c r="V218">
        <f>+'Material Properties'!AE$31+'Material Properties'!AE$33</f>
        <v>0.00029034311030761144</v>
      </c>
      <c r="W218">
        <f t="shared" si="175"/>
        <v>0.0004918942609285062</v>
      </c>
      <c r="X218" s="1">
        <f>+'Volcano Summary'!E$12*10^9/Q218/3600/24/365</f>
        <v>0</v>
      </c>
      <c r="Y218" s="3">
        <f t="shared" si="176"/>
        <v>20</v>
      </c>
      <c r="Z218" s="1">
        <f>+Y218*'Volcano Summary'!B$19*'Volcano Summary'!B$20/1000</f>
        <v>810000</v>
      </c>
      <c r="AA218" s="1">
        <f t="shared" si="163"/>
        <v>1745400.708351062</v>
      </c>
      <c r="AB218" s="3">
        <f t="shared" si="153"/>
        <v>484.8335300975172</v>
      </c>
      <c r="AC218" s="1">
        <f t="shared" si="177"/>
        <v>462529578.13511634</v>
      </c>
      <c r="AD218" s="36">
        <f t="shared" si="178"/>
        <v>128480.43837086565</v>
      </c>
      <c r="AE218" s="36">
        <f t="shared" si="150"/>
        <v>5353.351598786069</v>
      </c>
      <c r="AG218" s="1">
        <f t="shared" si="164"/>
        <v>810000000</v>
      </c>
      <c r="AH218" s="1">
        <f t="shared" si="179"/>
        <v>810000</v>
      </c>
      <c r="AI218" s="1">
        <f t="shared" si="180"/>
        <v>810810000</v>
      </c>
      <c r="AJ218" s="1">
        <f t="shared" si="181"/>
        <v>51980137438.24033</v>
      </c>
      <c r="AK218" s="1">
        <f t="shared" si="182"/>
        <v>52032117575.67857</v>
      </c>
      <c r="AL218" s="39">
        <f>+AJ218/('Volcano Summary'!C$8)*10^6</f>
        <v>3608.61074111828</v>
      </c>
      <c r="AM218" s="1">
        <f t="shared" si="165"/>
        <v>5353.351598786069</v>
      </c>
    </row>
    <row r="219" spans="1:39" ht="12.75" hidden="1">
      <c r="A219" s="1">
        <f t="shared" si="149"/>
        <v>1745400.708351062</v>
      </c>
      <c r="B219" s="1">
        <f t="shared" si="151"/>
        <v>5373.219251461968</v>
      </c>
      <c r="C219" s="1">
        <f t="shared" si="157"/>
        <v>1480</v>
      </c>
      <c r="D219" s="12">
        <f t="shared" si="166"/>
        <v>43.40961329254202</v>
      </c>
      <c r="E219" s="38">
        <f t="shared" si="158"/>
        <v>458309019.8508638</v>
      </c>
      <c r="F219" s="38">
        <f t="shared" si="159"/>
        <v>294668882.9950592</v>
      </c>
      <c r="G219" s="38">
        <f t="shared" si="160"/>
        <v>131028746.13925454</v>
      </c>
      <c r="H219" s="18">
        <f t="shared" si="167"/>
        <v>0.011518185997890527</v>
      </c>
      <c r="I219" s="50">
        <f t="shared" si="155"/>
        <v>0.0413814647100126</v>
      </c>
      <c r="J219" s="3">
        <f t="shared" si="168"/>
        <v>49.163940739506806</v>
      </c>
      <c r="K219" s="12">
        <f t="shared" si="156"/>
        <v>0.9709869155496321</v>
      </c>
      <c r="L219" s="3">
        <f t="shared" si="169"/>
        <v>1534.2363675891286</v>
      </c>
      <c r="M219" s="12">
        <v>0.718</v>
      </c>
      <c r="N219" s="37">
        <f t="shared" si="170"/>
        <v>2093.562318617133</v>
      </c>
      <c r="O219" s="1">
        <f t="shared" si="161"/>
        <v>50801.63018215177</v>
      </c>
      <c r="P219">
        <f t="shared" si="171"/>
        <v>225.39216974454052</v>
      </c>
      <c r="Q219" s="1">
        <f t="shared" si="172"/>
        <v>471.87255348852665</v>
      </c>
      <c r="R219" s="1">
        <f>+Q219*1000/'Material Properties'!AE$35</f>
        <v>404671.49039024377</v>
      </c>
      <c r="S219" s="1">
        <f t="shared" si="173"/>
        <v>273.4266826961107</v>
      </c>
      <c r="T219" s="1">
        <f t="shared" si="174"/>
        <v>44.51292929968895</v>
      </c>
      <c r="U219">
        <f t="shared" si="162"/>
        <v>0.0001888867362726754</v>
      </c>
      <c r="V219">
        <f>+'Material Properties'!AE$31+'Material Properties'!AE$33</f>
        <v>0.00029034311030761144</v>
      </c>
      <c r="W219">
        <f t="shared" si="175"/>
        <v>0.00047922984658028685</v>
      </c>
      <c r="X219" s="1">
        <f>+'Volcano Summary'!E$12*10^9/Q219/3600/24/365</f>
        <v>0</v>
      </c>
      <c r="Y219" s="3">
        <f t="shared" si="176"/>
        <v>20</v>
      </c>
      <c r="Z219" s="1">
        <f>+Y219*'Volcano Summary'!B$19*'Volcano Summary'!B$20/1000</f>
        <v>810000</v>
      </c>
      <c r="AA219" s="1">
        <f t="shared" si="163"/>
        <v>1716565.1911977432</v>
      </c>
      <c r="AB219" s="3">
        <f t="shared" si="153"/>
        <v>476.8236642215953</v>
      </c>
      <c r="AC219" s="1">
        <f t="shared" si="177"/>
        <v>464246143.3263141</v>
      </c>
      <c r="AD219" s="36">
        <f t="shared" si="178"/>
        <v>128957.26203508725</v>
      </c>
      <c r="AE219" s="36">
        <f t="shared" si="150"/>
        <v>5373.219251461968</v>
      </c>
      <c r="AG219" s="1">
        <f t="shared" si="164"/>
        <v>810000000</v>
      </c>
      <c r="AH219" s="1">
        <f t="shared" si="179"/>
        <v>810000</v>
      </c>
      <c r="AI219" s="1">
        <f t="shared" si="180"/>
        <v>810810000</v>
      </c>
      <c r="AJ219" s="1">
        <f t="shared" si="181"/>
        <v>52790137438.24033</v>
      </c>
      <c r="AK219" s="1">
        <f t="shared" si="182"/>
        <v>52842927575.67857</v>
      </c>
      <c r="AL219" s="39">
        <f>+AJ219/('Volcano Summary'!C$8)*10^6</f>
        <v>3664.843272318851</v>
      </c>
      <c r="AM219" s="1">
        <f t="shared" si="165"/>
        <v>5373.219251461968</v>
      </c>
    </row>
    <row r="220" spans="1:39" ht="12.75" hidden="1">
      <c r="A220" s="1">
        <f t="shared" si="149"/>
        <v>1716565.1911977432</v>
      </c>
      <c r="B220" s="1">
        <f t="shared" si="151"/>
        <v>5392.762959651663</v>
      </c>
      <c r="C220" s="1">
        <f t="shared" si="157"/>
        <v>1500</v>
      </c>
      <c r="D220" s="12">
        <f t="shared" si="166"/>
        <v>43.70193722368317</v>
      </c>
      <c r="E220" s="38">
        <f t="shared" si="158"/>
        <v>461395310.74816763</v>
      </c>
      <c r="F220" s="38">
        <f t="shared" si="159"/>
        <v>296653207.6579302</v>
      </c>
      <c r="G220" s="38">
        <f t="shared" si="160"/>
        <v>131911104.56769286</v>
      </c>
      <c r="H220" s="18">
        <f t="shared" si="167"/>
        <v>0.01144114041079711</v>
      </c>
      <c r="I220" s="50">
        <f t="shared" si="155"/>
        <v>0.041319339744078115</v>
      </c>
      <c r="J220" s="3">
        <f t="shared" si="168"/>
        <v>48.77403676934273</v>
      </c>
      <c r="K220" s="12">
        <f t="shared" si="156"/>
        <v>0.9691153764928445</v>
      </c>
      <c r="L220" s="3">
        <f t="shared" si="169"/>
        <v>1531.2791873858696</v>
      </c>
      <c r="M220" s="12">
        <v>0.718</v>
      </c>
      <c r="N220" s="37">
        <f t="shared" si="170"/>
        <v>2121.853701301149</v>
      </c>
      <c r="O220" s="1">
        <f t="shared" si="161"/>
        <v>51109.04200498337</v>
      </c>
      <c r="P220">
        <f t="shared" si="171"/>
        <v>226.07308996203722</v>
      </c>
      <c r="Q220" s="1">
        <f t="shared" si="172"/>
        <v>479.6940227005364</v>
      </c>
      <c r="R220" s="1">
        <f>+Q220*1000/'Material Properties'!AE$35</f>
        <v>411379.07611368917</v>
      </c>
      <c r="S220" s="1">
        <f t="shared" si="173"/>
        <v>274.2527174091261</v>
      </c>
      <c r="T220" s="1">
        <f t="shared" si="174"/>
        <v>47.29298118675547</v>
      </c>
      <c r="U220">
        <f t="shared" si="162"/>
        <v>0.0001779906490274854</v>
      </c>
      <c r="V220">
        <f>+'Material Properties'!AE$31+'Material Properties'!AE$33</f>
        <v>0.00029034311030761144</v>
      </c>
      <c r="W220">
        <f t="shared" si="175"/>
        <v>0.00046833375933509684</v>
      </c>
      <c r="X220" s="1">
        <f>+'Volcano Summary'!E$12*10^9/Q220/3600/24/365</f>
        <v>0</v>
      </c>
      <c r="Y220" s="3">
        <f t="shared" si="176"/>
        <v>20</v>
      </c>
      <c r="Z220" s="1">
        <f>+Y220*'Volcano Summary'!B$19*'Volcano Summary'!B$20/1000</f>
        <v>810000</v>
      </c>
      <c r="AA220" s="1">
        <f t="shared" si="163"/>
        <v>1688576.3875896097</v>
      </c>
      <c r="AB220" s="3">
        <f t="shared" si="153"/>
        <v>469.0489965526694</v>
      </c>
      <c r="AC220" s="1">
        <f t="shared" si="177"/>
        <v>465934719.7139037</v>
      </c>
      <c r="AD220" s="36">
        <f t="shared" si="178"/>
        <v>129426.31103163991</v>
      </c>
      <c r="AE220" s="36">
        <f t="shared" si="150"/>
        <v>5392.762959651663</v>
      </c>
      <c r="AG220" s="1">
        <f t="shared" si="164"/>
        <v>810000000</v>
      </c>
      <c r="AH220" s="1">
        <f t="shared" si="179"/>
        <v>810000</v>
      </c>
      <c r="AI220" s="1">
        <f t="shared" si="180"/>
        <v>810810000</v>
      </c>
      <c r="AJ220" s="1">
        <f t="shared" si="181"/>
        <v>53600137438.24033</v>
      </c>
      <c r="AK220" s="1">
        <f t="shared" si="182"/>
        <v>53653737575.67857</v>
      </c>
      <c r="AL220" s="39">
        <f>+AJ220/('Volcano Summary'!C$8)*10^6</f>
        <v>3721.0758035194217</v>
      </c>
      <c r="AM220" s="1">
        <f t="shared" si="165"/>
        <v>5392.762959651663</v>
      </c>
    </row>
    <row r="221" spans="1:39" ht="12.75" hidden="1">
      <c r="A221" s="1">
        <f t="shared" si="149"/>
        <v>1688576.3875896097</v>
      </c>
      <c r="B221" s="1">
        <f t="shared" si="151"/>
        <v>5411.99211255507</v>
      </c>
      <c r="C221" s="1">
        <f t="shared" si="157"/>
        <v>1520</v>
      </c>
      <c r="D221" s="12">
        <f t="shared" si="166"/>
        <v>43.992318738587166</v>
      </c>
      <c r="E221" s="38">
        <f t="shared" si="158"/>
        <v>464461094.0478619</v>
      </c>
      <c r="F221" s="38">
        <f t="shared" si="159"/>
        <v>298624347.0012488</v>
      </c>
      <c r="G221" s="38">
        <f t="shared" si="160"/>
        <v>132787599.95463574</v>
      </c>
      <c r="H221" s="18">
        <f t="shared" si="167"/>
        <v>0.011365620506868917</v>
      </c>
      <c r="I221" s="50">
        <f t="shared" si="155"/>
        <v>0.041258220222766</v>
      </c>
      <c r="J221" s="3">
        <f t="shared" si="168"/>
        <v>48.392527384078306</v>
      </c>
      <c r="K221" s="12">
        <f t="shared" si="156"/>
        <v>0.9672841314435753</v>
      </c>
      <c r="L221" s="3">
        <f t="shared" si="169"/>
        <v>1528.385674911537</v>
      </c>
      <c r="M221" s="12">
        <v>0.718</v>
      </c>
      <c r="N221" s="37">
        <f t="shared" si="170"/>
        <v>2150.145083985164</v>
      </c>
      <c r="O221" s="1">
        <f t="shared" si="161"/>
        <v>51414.63016040482</v>
      </c>
      <c r="P221">
        <f t="shared" si="171"/>
        <v>226.74794411505658</v>
      </c>
      <c r="Q221" s="1">
        <f t="shared" si="172"/>
        <v>487.5409773427316</v>
      </c>
      <c r="R221" s="1">
        <f>+Q221*1000/'Material Properties'!AE$35</f>
        <v>418108.5177957831</v>
      </c>
      <c r="S221" s="1">
        <f t="shared" si="173"/>
        <v>275.07139328669945</v>
      </c>
      <c r="T221" s="1">
        <f t="shared" si="174"/>
        <v>50.00246484392824</v>
      </c>
      <c r="U221">
        <f t="shared" si="162"/>
        <v>0.0001685163975123926</v>
      </c>
      <c r="V221">
        <f>+'Material Properties'!AE$31+'Material Properties'!AE$33</f>
        <v>0.00029034311030761144</v>
      </c>
      <c r="W221">
        <f t="shared" si="175"/>
        <v>0.00045885950782000403</v>
      </c>
      <c r="X221" s="1">
        <f>+'Volcano Summary'!E$12*10^9/Q221/3600/24/365</f>
        <v>0</v>
      </c>
      <c r="Y221" s="3">
        <f t="shared" si="176"/>
        <v>20</v>
      </c>
      <c r="Z221" s="1">
        <f>+Y221*'Volcano Summary'!B$19*'Volcano Summary'!B$20/1000</f>
        <v>810000</v>
      </c>
      <c r="AA221" s="1">
        <f t="shared" si="163"/>
        <v>1661398.8108543872</v>
      </c>
      <c r="AB221" s="3">
        <f t="shared" si="153"/>
        <v>461.4996696817742</v>
      </c>
      <c r="AC221" s="1">
        <f t="shared" si="177"/>
        <v>467596118.5247581</v>
      </c>
      <c r="AD221" s="36">
        <f t="shared" si="178"/>
        <v>129887.81070132168</v>
      </c>
      <c r="AE221" s="36">
        <f t="shared" si="150"/>
        <v>5411.99211255507</v>
      </c>
      <c r="AG221" s="1">
        <f t="shared" si="164"/>
        <v>810000000</v>
      </c>
      <c r="AH221" s="1">
        <f t="shared" si="179"/>
        <v>810000</v>
      </c>
      <c r="AI221" s="1">
        <f t="shared" si="180"/>
        <v>810810000</v>
      </c>
      <c r="AJ221" s="1">
        <f t="shared" si="181"/>
        <v>54410137438.24033</v>
      </c>
      <c r="AK221" s="1">
        <f t="shared" si="182"/>
        <v>54464547575.67857</v>
      </c>
      <c r="AL221" s="39">
        <f>+AJ221/('Volcano Summary'!C$8)*10^6</f>
        <v>3777.3083347199927</v>
      </c>
      <c r="AM221" s="1">
        <f t="shared" si="165"/>
        <v>5411.99211255507</v>
      </c>
    </row>
    <row r="222" spans="1:39" ht="12.75" hidden="1">
      <c r="A222" s="1">
        <f t="shared" si="149"/>
        <v>1661398.8108543872</v>
      </c>
      <c r="B222" s="1">
        <f t="shared" si="151"/>
        <v>5430.915710896634</v>
      </c>
      <c r="C222" s="1">
        <f t="shared" si="157"/>
        <v>1540</v>
      </c>
      <c r="D222" s="12">
        <f t="shared" si="166"/>
        <v>44.28079605079555</v>
      </c>
      <c r="E222" s="38">
        <f t="shared" si="158"/>
        <v>467506773.19999915</v>
      </c>
      <c r="F222" s="38">
        <f t="shared" si="159"/>
        <v>300582560.4224327</v>
      </c>
      <c r="G222" s="38">
        <f t="shared" si="160"/>
        <v>133658347.6448664</v>
      </c>
      <c r="H222" s="18">
        <f t="shared" si="167"/>
        <v>0.011291576588335</v>
      </c>
      <c r="I222" s="50">
        <f t="shared" si="155"/>
        <v>0.041198076699708513</v>
      </c>
      <c r="J222" s="3">
        <f t="shared" si="168"/>
        <v>48.019123834685836</v>
      </c>
      <c r="K222" s="12">
        <f t="shared" si="156"/>
        <v>0.9654917944064915</v>
      </c>
      <c r="L222" s="3">
        <f t="shared" si="169"/>
        <v>1525.5536401835363</v>
      </c>
      <c r="M222" s="12">
        <v>0.718</v>
      </c>
      <c r="N222" s="37">
        <f t="shared" si="170"/>
        <v>2178.4364666691795</v>
      </c>
      <c r="O222" s="1">
        <f t="shared" si="161"/>
        <v>51718.42766509605</v>
      </c>
      <c r="P222">
        <f t="shared" si="171"/>
        <v>227.4168587970031</v>
      </c>
      <c r="Q222" s="1">
        <f t="shared" si="172"/>
        <v>495.4131783387471</v>
      </c>
      <c r="R222" s="1">
        <f>+Q222*1000/'Material Properties'!AE$35</f>
        <v>424859.6104078831</v>
      </c>
      <c r="S222" s="1">
        <f t="shared" si="173"/>
        <v>275.88286390122283</v>
      </c>
      <c r="T222" s="1">
        <f t="shared" si="174"/>
        <v>52.64411865937882</v>
      </c>
      <c r="U222">
        <f t="shared" si="162"/>
        <v>0.0001602024688195608</v>
      </c>
      <c r="V222">
        <f>+'Material Properties'!AE$31+'Material Properties'!AE$33</f>
        <v>0.00029034311030761144</v>
      </c>
      <c r="W222">
        <f t="shared" si="175"/>
        <v>0.0004505455791271722</v>
      </c>
      <c r="X222" s="1">
        <f>+'Volcano Summary'!E$12*10^9/Q222/3600/24/365</f>
        <v>0</v>
      </c>
      <c r="Y222" s="3">
        <f t="shared" si="176"/>
        <v>20</v>
      </c>
      <c r="Z222" s="1">
        <f>+Y222*'Volcano Summary'!B$19*'Volcano Summary'!B$20/1000</f>
        <v>810000</v>
      </c>
      <c r="AA222" s="1">
        <f t="shared" si="163"/>
        <v>1634998.896711118</v>
      </c>
      <c r="AB222" s="3">
        <f t="shared" si="153"/>
        <v>454.1663601975328</v>
      </c>
      <c r="AC222" s="1">
        <f t="shared" si="177"/>
        <v>469231117.4214692</v>
      </c>
      <c r="AD222" s="36">
        <f t="shared" si="178"/>
        <v>130341.97706151921</v>
      </c>
      <c r="AE222" s="36">
        <f t="shared" si="150"/>
        <v>5430.915710896634</v>
      </c>
      <c r="AG222" s="1">
        <f t="shared" si="164"/>
        <v>809999999.9999999</v>
      </c>
      <c r="AH222" s="1">
        <f t="shared" si="179"/>
        <v>810000</v>
      </c>
      <c r="AI222" s="1">
        <f t="shared" si="180"/>
        <v>810809999.9999999</v>
      </c>
      <c r="AJ222" s="1">
        <f t="shared" si="181"/>
        <v>55220137438.24033</v>
      </c>
      <c r="AK222" s="1">
        <f t="shared" si="182"/>
        <v>55275357575.67857</v>
      </c>
      <c r="AL222" s="39">
        <f>+AJ222/('Volcano Summary'!C$8)*10^6</f>
        <v>3833.5408659205636</v>
      </c>
      <c r="AM222" s="1">
        <f t="shared" si="165"/>
        <v>5430.915710896634</v>
      </c>
    </row>
    <row r="223" spans="1:39" ht="12.75" hidden="1">
      <c r="A223" s="1">
        <f t="shared" si="149"/>
        <v>1634998.896711118</v>
      </c>
      <c r="B223" s="1">
        <f t="shared" si="151"/>
        <v>5449.54238770344</v>
      </c>
      <c r="C223" s="1">
        <f t="shared" si="157"/>
        <v>1560</v>
      </c>
      <c r="D223" s="12">
        <f t="shared" si="166"/>
        <v>44.56740613707347</v>
      </c>
      <c r="E223" s="38">
        <f t="shared" si="158"/>
        <v>470532738.5970227</v>
      </c>
      <c r="F223" s="38">
        <f t="shared" si="159"/>
        <v>302528098.92353576</v>
      </c>
      <c r="G223" s="38">
        <f t="shared" si="160"/>
        <v>134523459.25004882</v>
      </c>
      <c r="H223" s="18">
        <f t="shared" si="167"/>
        <v>0.011218961194694123</v>
      </c>
      <c r="I223" s="50">
        <f t="shared" si="155"/>
        <v>0.041138880963946</v>
      </c>
      <c r="J223" s="3">
        <f t="shared" si="168"/>
        <v>47.6535509127651</v>
      </c>
      <c r="K223" s="12">
        <f t="shared" si="156"/>
        <v>0.963737044381272</v>
      </c>
      <c r="L223" s="3">
        <f t="shared" si="169"/>
        <v>1522.7809959165477</v>
      </c>
      <c r="M223" s="12">
        <v>0.718</v>
      </c>
      <c r="N223" s="37">
        <f t="shared" si="170"/>
        <v>2206.727849353195</v>
      </c>
      <c r="O223" s="1">
        <f t="shared" si="161"/>
        <v>52020.466521513634</v>
      </c>
      <c r="P223">
        <f t="shared" si="171"/>
        <v>228.07995642211446</v>
      </c>
      <c r="Q223" s="1">
        <f t="shared" si="172"/>
        <v>503.31039171594307</v>
      </c>
      <c r="R223" s="1">
        <f>+Q223*1000/'Material Properties'!AE$35</f>
        <v>431632.1532982323</v>
      </c>
      <c r="S223" s="1">
        <f t="shared" si="173"/>
        <v>276.68727775527714</v>
      </c>
      <c r="T223" s="1">
        <f t="shared" si="174"/>
        <v>55.22053967196439</v>
      </c>
      <c r="U223">
        <f t="shared" si="162"/>
        <v>0.0001528477817593971</v>
      </c>
      <c r="V223">
        <f>+'Material Properties'!AE$31+'Material Properties'!AE$33</f>
        <v>0.00029034311030761144</v>
      </c>
      <c r="W223">
        <f t="shared" si="175"/>
        <v>0.0004431908920670086</v>
      </c>
      <c r="X223" s="1">
        <f>+'Volcano Summary'!E$12*10^9/Q223/3600/24/365</f>
        <v>0</v>
      </c>
      <c r="Y223" s="3">
        <f t="shared" si="176"/>
        <v>20</v>
      </c>
      <c r="Z223" s="1">
        <f>+Y223*'Volcano Summary'!B$19*'Volcano Summary'!B$20/1000</f>
        <v>810000</v>
      </c>
      <c r="AA223" s="1">
        <f t="shared" si="163"/>
        <v>1609344.876108073</v>
      </c>
      <c r="AB223" s="3">
        <f t="shared" si="153"/>
        <v>447.04024336335357</v>
      </c>
      <c r="AC223" s="1">
        <f t="shared" si="177"/>
        <v>470840462.29757726</v>
      </c>
      <c r="AD223" s="36">
        <f t="shared" si="178"/>
        <v>130789.01730488257</v>
      </c>
      <c r="AE223" s="36">
        <f t="shared" si="150"/>
        <v>5449.54238770344</v>
      </c>
      <c r="AG223" s="1">
        <f t="shared" si="164"/>
        <v>810000000</v>
      </c>
      <c r="AH223" s="1">
        <f t="shared" si="179"/>
        <v>810000</v>
      </c>
      <c r="AI223" s="1">
        <f t="shared" si="180"/>
        <v>810810000</v>
      </c>
      <c r="AJ223" s="1">
        <f t="shared" si="181"/>
        <v>56030137438.24033</v>
      </c>
      <c r="AK223" s="1">
        <f t="shared" si="182"/>
        <v>56086167575.67857</v>
      </c>
      <c r="AL223" s="39">
        <f>+AJ223/('Volcano Summary'!C$8)*10^6</f>
        <v>3889.7733971211346</v>
      </c>
      <c r="AM223" s="1">
        <f t="shared" si="165"/>
        <v>5449.54238770344</v>
      </c>
    </row>
    <row r="224" spans="1:39" ht="12.75" hidden="1">
      <c r="A224" s="1">
        <f t="shared" si="149"/>
        <v>1609344.876108073</v>
      </c>
      <c r="B224" s="1">
        <f t="shared" si="151"/>
        <v>5467.880427726116</v>
      </c>
      <c r="C224" s="1">
        <f t="shared" si="157"/>
        <v>1580</v>
      </c>
      <c r="D224" s="12">
        <f t="shared" si="166"/>
        <v>44.85218479273398</v>
      </c>
      <c r="E224" s="38">
        <f t="shared" si="158"/>
        <v>473539368.15786785</v>
      </c>
      <c r="F224" s="38">
        <f t="shared" si="159"/>
        <v>304461205.486794</v>
      </c>
      <c r="G224" s="38">
        <f t="shared" si="160"/>
        <v>135383042.81572023</v>
      </c>
      <c r="H224" s="18">
        <f t="shared" si="167"/>
        <v>0.011147728974865894</v>
      </c>
      <c r="I224" s="50">
        <f t="shared" si="155"/>
        <v>0.041080605972895166</v>
      </c>
      <c r="J224" s="3">
        <f t="shared" si="168"/>
        <v>47.29554615090923</v>
      </c>
      <c r="K224" s="12">
        <f t="shared" si="156"/>
        <v>0.9620186215243638</v>
      </c>
      <c r="L224" s="3">
        <f t="shared" si="169"/>
        <v>1520.0657514577977</v>
      </c>
      <c r="M224" s="12">
        <v>0.718</v>
      </c>
      <c r="N224" s="37">
        <f t="shared" si="170"/>
        <v>2235.01923203721</v>
      </c>
      <c r="O224" s="1">
        <f t="shared" si="161"/>
        <v>52320.777761561185</v>
      </c>
      <c r="P224">
        <f t="shared" si="171"/>
        <v>228.73735541349862</v>
      </c>
      <c r="Q224" s="1">
        <f t="shared" si="172"/>
        <v>511.2323884345</v>
      </c>
      <c r="R224" s="1">
        <f>+Q224*1000/'Material Properties'!AE$35</f>
        <v>438425.95004539366</v>
      </c>
      <c r="S224" s="1">
        <f t="shared" si="173"/>
        <v>277.48477850974285</v>
      </c>
      <c r="T224" s="1">
        <f t="shared" si="174"/>
        <v>57.73419261397089</v>
      </c>
      <c r="U224">
        <f t="shared" si="162"/>
        <v>0.000146295184048567</v>
      </c>
      <c r="V224">
        <f>+'Material Properties'!AE$31+'Material Properties'!AE$33</f>
        <v>0.00029034311030761144</v>
      </c>
      <c r="W224">
        <f t="shared" si="175"/>
        <v>0.00043663829435617847</v>
      </c>
      <c r="X224" s="1">
        <f>+'Volcano Summary'!E$12*10^9/Q224/3600/24/365</f>
        <v>0</v>
      </c>
      <c r="Y224" s="3">
        <f t="shared" si="176"/>
        <v>20</v>
      </c>
      <c r="Z224" s="1">
        <f>+Y224*'Volcano Summary'!B$19*'Volcano Summary'!B$20/1000</f>
        <v>810000</v>
      </c>
      <c r="AA224" s="1">
        <f t="shared" si="163"/>
        <v>1584406.6579591888</v>
      </c>
      <c r="AB224" s="3">
        <f t="shared" si="153"/>
        <v>440.1129605442191</v>
      </c>
      <c r="AC224" s="1">
        <f t="shared" si="177"/>
        <v>472424868.9555364</v>
      </c>
      <c r="AD224" s="36">
        <f t="shared" si="178"/>
        <v>131229.1302654268</v>
      </c>
      <c r="AE224" s="36">
        <f t="shared" si="150"/>
        <v>5467.880427726116</v>
      </c>
      <c r="AG224" s="1">
        <f t="shared" si="164"/>
        <v>810000000</v>
      </c>
      <c r="AH224" s="1">
        <f t="shared" si="179"/>
        <v>810000</v>
      </c>
      <c r="AI224" s="1">
        <f t="shared" si="180"/>
        <v>810810000</v>
      </c>
      <c r="AJ224" s="1">
        <f t="shared" si="181"/>
        <v>56840137438.24033</v>
      </c>
      <c r="AK224" s="1">
        <f t="shared" si="182"/>
        <v>56896977575.67857</v>
      </c>
      <c r="AL224" s="39">
        <f>+AJ224/('Volcano Summary'!C$8)*10^6</f>
        <v>3946.005928321705</v>
      </c>
      <c r="AM224" s="1">
        <f t="shared" si="165"/>
        <v>5467.880427726116</v>
      </c>
    </row>
    <row r="225" spans="1:39" ht="12.75" hidden="1">
      <c r="A225" s="1">
        <f t="shared" si="149"/>
        <v>1584406.6579591888</v>
      </c>
      <c r="B225" s="1">
        <f t="shared" si="151"/>
        <v>5485.937785606852</v>
      </c>
      <c r="C225" s="1">
        <f t="shared" si="157"/>
        <v>1600</v>
      </c>
      <c r="D225" s="12">
        <f t="shared" si="166"/>
        <v>45.1351666838205</v>
      </c>
      <c r="E225" s="38">
        <f t="shared" si="158"/>
        <v>476527027.8788931</v>
      </c>
      <c r="F225" s="38">
        <f t="shared" si="159"/>
        <v>306382115.4288465</v>
      </c>
      <c r="G225" s="38">
        <f t="shared" si="160"/>
        <v>136237202.97879985</v>
      </c>
      <c r="H225" s="18">
        <f t="shared" si="167"/>
        <v>0.011077836568159475</v>
      </c>
      <c r="I225" s="50">
        <f t="shared" si="155"/>
        <v>0.04102322578975696</v>
      </c>
      <c r="J225" s="3">
        <f t="shared" si="168"/>
        <v>46.944859079763255</v>
      </c>
      <c r="K225" s="12">
        <f t="shared" si="156"/>
        <v>0.9603353235828631</v>
      </c>
      <c r="L225" s="3">
        <f t="shared" si="169"/>
        <v>1517.406007152308</v>
      </c>
      <c r="M225" s="12">
        <v>0.718</v>
      </c>
      <c r="N225" s="37">
        <f t="shared" si="170"/>
        <v>2263.3106147212247</v>
      </c>
      <c r="O225" s="1">
        <f t="shared" si="161"/>
        <v>52619.39148785344</v>
      </c>
      <c r="P225">
        <f t="shared" si="171"/>
        <v>229.38917038049865</v>
      </c>
      <c r="Q225" s="1">
        <f t="shared" si="172"/>
        <v>519.1789442242781</v>
      </c>
      <c r="R225" s="1">
        <f>+Q225*1000/'Material Properties'!AE$35</f>
        <v>445240.8083183424</v>
      </c>
      <c r="S225" s="1">
        <f t="shared" si="173"/>
        <v>278.27550519896397</v>
      </c>
      <c r="T225" s="1">
        <f t="shared" si="174"/>
        <v>60.18741826711607</v>
      </c>
      <c r="U225">
        <f t="shared" si="162"/>
        <v>0.0001404200773797894</v>
      </c>
      <c r="V225">
        <f>+'Material Properties'!AE$31+'Material Properties'!AE$33</f>
        <v>0.00029034311030761144</v>
      </c>
      <c r="W225">
        <f t="shared" si="175"/>
        <v>0.00043076318768740085</v>
      </c>
      <c r="X225" s="1">
        <f>+'Volcano Summary'!E$12*10^9/Q225/3600/24/365</f>
        <v>0</v>
      </c>
      <c r="Y225" s="3">
        <f t="shared" si="176"/>
        <v>20</v>
      </c>
      <c r="Z225" s="1">
        <f>+Y225*'Volcano Summary'!B$19*'Volcano Summary'!B$20/1000</f>
        <v>810000</v>
      </c>
      <c r="AA225" s="1">
        <f t="shared" si="163"/>
        <v>1560155.720895513</v>
      </c>
      <c r="AB225" s="3">
        <f t="shared" si="153"/>
        <v>433.3765891376425</v>
      </c>
      <c r="AC225" s="1">
        <f t="shared" si="177"/>
        <v>473985024.67643195</v>
      </c>
      <c r="AD225" s="36">
        <f t="shared" si="178"/>
        <v>131662.50685456445</v>
      </c>
      <c r="AE225" s="36">
        <f t="shared" si="150"/>
        <v>5485.937785606852</v>
      </c>
      <c r="AG225" s="1">
        <f t="shared" si="164"/>
        <v>809999999.9999999</v>
      </c>
      <c r="AH225" s="1">
        <f t="shared" si="179"/>
        <v>810000</v>
      </c>
      <c r="AI225" s="1">
        <f t="shared" si="180"/>
        <v>810809999.9999999</v>
      </c>
      <c r="AJ225" s="1">
        <f t="shared" si="181"/>
        <v>57650137438.24033</v>
      </c>
      <c r="AK225" s="1">
        <f t="shared" si="182"/>
        <v>57707787575.67857</v>
      </c>
      <c r="AL225" s="39">
        <f>+AJ225/('Volcano Summary'!C$8)*10^6</f>
        <v>4002.238459522276</v>
      </c>
      <c r="AM225" s="1">
        <f t="shared" si="165"/>
        <v>5485.937785606852</v>
      </c>
    </row>
    <row r="226" spans="1:39" ht="12.75" hidden="1">
      <c r="A226" s="1">
        <f t="shared" si="149"/>
        <v>1560155.720895513</v>
      </c>
      <c r="B226" s="1">
        <f t="shared" si="151"/>
        <v>5503.722102889686</v>
      </c>
      <c r="C226" s="1">
        <f t="shared" si="157"/>
        <v>1620</v>
      </c>
      <c r="D226" s="12">
        <f t="shared" si="166"/>
        <v>45.416385396362884</v>
      </c>
      <c r="E226" s="38">
        <f t="shared" si="158"/>
        <v>479496072.3539141</v>
      </c>
      <c r="F226" s="38">
        <f t="shared" si="159"/>
        <v>308291056.73508954</v>
      </c>
      <c r="G226" s="38">
        <f t="shared" si="160"/>
        <v>137086041.11626503</v>
      </c>
      <c r="H226" s="18">
        <f t="shared" si="167"/>
        <v>0.01100924249335003</v>
      </c>
      <c r="I226" s="50">
        <f t="shared" si="155"/>
        <v>0.04096671552501817</v>
      </c>
      <c r="J226" s="3">
        <f t="shared" si="168"/>
        <v>46.601250537101244</v>
      </c>
      <c r="K226" s="12">
        <f t="shared" si="156"/>
        <v>0.9586860025780854</v>
      </c>
      <c r="L226" s="3">
        <f t="shared" si="169"/>
        <v>1514.7999491026726</v>
      </c>
      <c r="M226" s="12">
        <v>0.718</v>
      </c>
      <c r="N226" s="37">
        <f t="shared" si="170"/>
        <v>2291.601997405241</v>
      </c>
      <c r="O226" s="1">
        <f t="shared" si="161"/>
        <v>52916.33691273514</v>
      </c>
      <c r="P226">
        <f t="shared" si="171"/>
        <v>230.0355122861145</v>
      </c>
      <c r="Q226" s="1">
        <f t="shared" si="172"/>
        <v>527.1498394289978</v>
      </c>
      <c r="R226" s="1">
        <f>+Q226*1000/'Material Properties'!AE$35</f>
        <v>452076.5397428377</v>
      </c>
      <c r="S226" s="1">
        <f t="shared" si="173"/>
        <v>279.05959243385047</v>
      </c>
      <c r="T226" s="1">
        <f t="shared" si="174"/>
        <v>62.5824411919441</v>
      </c>
      <c r="U226">
        <f t="shared" si="162"/>
        <v>0.0001351224029659485</v>
      </c>
      <c r="V226">
        <f>+'Material Properties'!AE$31+'Material Properties'!AE$33</f>
        <v>0.00029034311030761144</v>
      </c>
      <c r="W226">
        <f t="shared" si="175"/>
        <v>0.0004254655132735599</v>
      </c>
      <c r="X226" s="1">
        <f>+'Volcano Summary'!E$12*10^9/Q226/3600/24/365</f>
        <v>0</v>
      </c>
      <c r="Y226" s="3">
        <f t="shared" si="176"/>
        <v>20</v>
      </c>
      <c r="Z226" s="1">
        <f>+Y226*'Volcano Summary'!B$19*'Volcano Summary'!B$20/1000</f>
        <v>810000</v>
      </c>
      <c r="AA226" s="1">
        <f t="shared" si="163"/>
        <v>1536565.0132368098</v>
      </c>
      <c r="AB226" s="3">
        <f t="shared" si="153"/>
        <v>426.8236147880027</v>
      </c>
      <c r="AC226" s="1">
        <f t="shared" si="177"/>
        <v>475521589.6896688</v>
      </c>
      <c r="AD226" s="36">
        <f t="shared" si="178"/>
        <v>132089.33046935246</v>
      </c>
      <c r="AE226" s="36">
        <f t="shared" si="150"/>
        <v>5503.722102889686</v>
      </c>
      <c r="AG226" s="1">
        <f t="shared" si="164"/>
        <v>810000000.0000001</v>
      </c>
      <c r="AH226" s="1">
        <f t="shared" si="179"/>
        <v>810000</v>
      </c>
      <c r="AI226" s="1">
        <f t="shared" si="180"/>
        <v>810810000.0000001</v>
      </c>
      <c r="AJ226" s="1">
        <f t="shared" si="181"/>
        <v>58460137438.24033</v>
      </c>
      <c r="AK226" s="1">
        <f t="shared" si="182"/>
        <v>58518597575.67857</v>
      </c>
      <c r="AL226" s="39">
        <f>+AJ226/('Volcano Summary'!C$8)*10^6</f>
        <v>4058.4709907228466</v>
      </c>
      <c r="AM226" s="1">
        <f t="shared" si="165"/>
        <v>5503.722102889686</v>
      </c>
    </row>
    <row r="227" spans="1:39" ht="12.75" hidden="1">
      <c r="A227" s="1">
        <f t="shared" si="149"/>
        <v>1536565.0132368098</v>
      </c>
      <c r="B227" s="1">
        <f t="shared" si="151"/>
        <v>5520.69504255287</v>
      </c>
      <c r="C227" s="1">
        <f t="shared" si="157"/>
        <v>1640</v>
      </c>
      <c r="D227" s="12">
        <f t="shared" si="166"/>
        <v>45.69587348290507</v>
      </c>
      <c r="E227" s="38">
        <f t="shared" si="158"/>
        <v>482446845.26543295</v>
      </c>
      <c r="F227" s="38">
        <f t="shared" si="159"/>
        <v>310188250.3755121</v>
      </c>
      <c r="G227" s="38">
        <f t="shared" si="160"/>
        <v>137929655.48559123</v>
      </c>
      <c r="H227" s="18">
        <f t="shared" si="167"/>
        <v>0.010941907045218233</v>
      </c>
      <c r="I227" s="50">
        <f t="shared" si="155"/>
        <v>0.040911051281731864</v>
      </c>
      <c r="J227" s="3">
        <f t="shared" si="168"/>
        <v>46.26449202468663</v>
      </c>
      <c r="K227" s="12">
        <f>0.807-(15-J227)/5*(0.807-0.773)</f>
        <v>1.0195985457678693</v>
      </c>
      <c r="L227" s="3">
        <f t="shared" si="169"/>
        <v>1611.0466003268136</v>
      </c>
      <c r="M227" s="12">
        <f>0.718-(15-J227)/5*(0.718-0.705)</f>
        <v>0.7992876792641853</v>
      </c>
      <c r="N227" s="37">
        <f t="shared" si="170"/>
        <v>2319.8933800892564</v>
      </c>
      <c r="O227" s="1">
        <f t="shared" si="161"/>
        <v>56688.160792252354</v>
      </c>
      <c r="P227">
        <f t="shared" si="171"/>
        <v>238.0927566984186</v>
      </c>
      <c r="Q227" s="1">
        <f t="shared" si="172"/>
        <v>552.3498101118633</v>
      </c>
      <c r="R227" s="1">
        <f>+Q227*1000/'Material Properties'!AE$35</f>
        <v>473687.6922004972</v>
      </c>
      <c r="S227" s="1">
        <f t="shared" si="173"/>
        <v>288.8339586588398</v>
      </c>
      <c r="T227" s="1">
        <f t="shared" si="174"/>
        <v>-31.574170530675474</v>
      </c>
      <c r="U227">
        <f t="shared" si="162"/>
        <v>-0.0002796457035870533</v>
      </c>
      <c r="V227">
        <f>+'Material Properties'!AE$31+'Material Properties'!AE$33</f>
        <v>0.00029034311030761144</v>
      </c>
      <c r="W227">
        <f t="shared" si="175"/>
        <v>1.0697406720558162E-05</v>
      </c>
      <c r="X227" s="1">
        <f>+'Volcano Summary'!E$12*10^9/Q227/3600/24/365</f>
        <v>0</v>
      </c>
      <c r="Y227" s="3">
        <f t="shared" si="176"/>
        <v>20</v>
      </c>
      <c r="Z227" s="1">
        <f>+Y227*'Volcano Summary'!B$19*'Volcano Summary'!B$20/1000</f>
        <v>810000</v>
      </c>
      <c r="AA227" s="1">
        <f t="shared" si="163"/>
        <v>1466461.9868991296</v>
      </c>
      <c r="AB227" s="3">
        <f t="shared" si="153"/>
        <v>407.3505519164249</v>
      </c>
      <c r="AC227" s="1">
        <f t="shared" si="177"/>
        <v>476988051.6765679</v>
      </c>
      <c r="AD227" s="36">
        <f t="shared" si="178"/>
        <v>132496.6810212689</v>
      </c>
      <c r="AE227" s="36">
        <f t="shared" si="150"/>
        <v>5520.69504255287</v>
      </c>
      <c r="AG227" s="1">
        <f t="shared" si="164"/>
        <v>810000000.0000001</v>
      </c>
      <c r="AH227" s="1">
        <f t="shared" si="179"/>
        <v>810000</v>
      </c>
      <c r="AI227" s="1">
        <f t="shared" si="180"/>
        <v>810810000.0000001</v>
      </c>
      <c r="AJ227" s="1">
        <f t="shared" si="181"/>
        <v>59270137438.24033</v>
      </c>
      <c r="AK227" s="1">
        <f t="shared" si="182"/>
        <v>59329407575.67857</v>
      </c>
      <c r="AL227" s="39">
        <f>+AJ227/('Volcano Summary'!C$8)*10^6</f>
        <v>4114.703521923418</v>
      </c>
      <c r="AM227" s="1">
        <f t="shared" si="165"/>
        <v>5520.69504255287</v>
      </c>
    </row>
    <row r="228" spans="1:39" ht="12.75" hidden="1">
      <c r="A228" s="1">
        <f t="shared" si="149"/>
        <v>1466461.9868991296</v>
      </c>
      <c r="B228" s="1">
        <f t="shared" si="151"/>
        <v>5537.421979132927</v>
      </c>
      <c r="C228" s="1">
        <f t="shared" si="157"/>
        <v>1660</v>
      </c>
      <c r="D228" s="12">
        <f t="shared" si="166"/>
        <v>45.97366250648702</v>
      </c>
      <c r="E228" s="38">
        <f t="shared" si="158"/>
        <v>485379679.8489892</v>
      </c>
      <c r="F228" s="38">
        <f t="shared" si="159"/>
        <v>312073910.60324883</v>
      </c>
      <c r="G228" s="38">
        <f t="shared" si="160"/>
        <v>138768141.3575085</v>
      </c>
      <c r="H228" s="18">
        <f t="shared" si="167"/>
        <v>0.010875792197966576</v>
      </c>
      <c r="I228" s="50">
        <f t="shared" si="155"/>
        <v>0.0408562101042895</v>
      </c>
      <c r="J228" s="3">
        <f t="shared" si="168"/>
        <v>45.93436510907149</v>
      </c>
      <c r="K228" s="12">
        <f aca="true" t="shared" si="183" ref="K228:K273">0.807-(15-J228)/5*(0.807-0.773)</f>
        <v>1.0173536827416865</v>
      </c>
      <c r="L228" s="3">
        <f t="shared" si="169"/>
        <v>1607.4995386312642</v>
      </c>
      <c r="M228" s="12">
        <f aca="true" t="shared" si="184" ref="M228:M273">0.718-(15-J228)/5*(0.718-0.705)</f>
        <v>0.7984293492835859</v>
      </c>
      <c r="N228" s="37">
        <f t="shared" si="170"/>
        <v>2348.1847627732714</v>
      </c>
      <c r="O228" s="1">
        <f t="shared" si="161"/>
        <v>56969.86640023507</v>
      </c>
      <c r="P228">
        <f t="shared" si="171"/>
        <v>238.68361150325146</v>
      </c>
      <c r="Q228" s="1">
        <f t="shared" si="172"/>
        <v>560.4732196556301</v>
      </c>
      <c r="R228" s="1">
        <f>+Q228*1000/'Material Properties'!AE$35</f>
        <v>480654.2178498988</v>
      </c>
      <c r="S228" s="1">
        <f t="shared" si="173"/>
        <v>289.5507336445173</v>
      </c>
      <c r="T228" s="1">
        <f t="shared" si="174"/>
        <v>-27.89603700081443</v>
      </c>
      <c r="U228">
        <f t="shared" si="162"/>
        <v>-0.00031774663813585735</v>
      </c>
      <c r="V228">
        <f>+'Material Properties'!AE$31+'Material Properties'!AE$33</f>
        <v>0.00029034311030761144</v>
      </c>
      <c r="W228">
        <f t="shared" si="175"/>
        <v>-2.740352782824591E-05</v>
      </c>
      <c r="X228" s="1">
        <f>+'Volcano Summary'!E$12*10^9/Q228/3600/24/365</f>
        <v>0</v>
      </c>
      <c r="Y228" s="3">
        <f t="shared" si="176"/>
        <v>20</v>
      </c>
      <c r="Z228" s="1">
        <f>+Y228*'Volcano Summary'!B$19*'Volcano Summary'!B$20/1000</f>
        <v>810000</v>
      </c>
      <c r="AA228" s="1">
        <f t="shared" si="163"/>
        <v>1445207.3205169123</v>
      </c>
      <c r="AB228" s="3">
        <f t="shared" si="153"/>
        <v>401.44647792136453</v>
      </c>
      <c r="AC228" s="1">
        <f t="shared" si="177"/>
        <v>478433258.9970848</v>
      </c>
      <c r="AD228" s="36">
        <f t="shared" si="178"/>
        <v>132898.12749919025</v>
      </c>
      <c r="AE228" s="36">
        <f t="shared" si="150"/>
        <v>5537.421979132927</v>
      </c>
      <c r="AG228" s="1">
        <f t="shared" si="164"/>
        <v>810000000</v>
      </c>
      <c r="AH228" s="1">
        <f t="shared" si="179"/>
        <v>810000</v>
      </c>
      <c r="AI228" s="1">
        <f t="shared" si="180"/>
        <v>810810000</v>
      </c>
      <c r="AJ228" s="1">
        <f t="shared" si="181"/>
        <v>60080137438.24033</v>
      </c>
      <c r="AK228" s="1">
        <f t="shared" si="182"/>
        <v>60140217575.67857</v>
      </c>
      <c r="AL228" s="39">
        <f>+AJ228/('Volcano Summary'!C$8)*10^6</f>
        <v>4170.936053123988</v>
      </c>
      <c r="AM228" s="1">
        <f t="shared" si="165"/>
        <v>5537.421979132927</v>
      </c>
    </row>
    <row r="229" spans="1:39" ht="12.75" hidden="1">
      <c r="A229" s="1">
        <f aca="true" t="shared" si="185" ref="A229:A242">+AA228</f>
        <v>1445207.3205169123</v>
      </c>
      <c r="B229" s="1">
        <f t="shared" si="151"/>
        <v>5553.909291945017</v>
      </c>
      <c r="C229" s="1">
        <f t="shared" si="157"/>
        <v>1680</v>
      </c>
      <c r="D229" s="12">
        <f t="shared" si="166"/>
        <v>46.24978308224886</v>
      </c>
      <c r="E229" s="38">
        <f t="shared" si="158"/>
        <v>488294899.33240736</v>
      </c>
      <c r="F229" s="38">
        <f t="shared" si="159"/>
        <v>313948245.23699397</v>
      </c>
      <c r="G229" s="38">
        <f t="shared" si="160"/>
        <v>139601591.1415806</v>
      </c>
      <c r="H229" s="18">
        <f t="shared" si="167"/>
        <v>0.01081086151497876</v>
      </c>
      <c r="I229" s="50">
        <f t="shared" si="155"/>
        <v>0.04080216993042248</v>
      </c>
      <c r="J229" s="3">
        <f t="shared" si="168"/>
        <v>45.610660862842806</v>
      </c>
      <c r="K229" s="12">
        <f t="shared" si="183"/>
        <v>1.0151524938673313</v>
      </c>
      <c r="L229" s="3">
        <f t="shared" si="169"/>
        <v>1604.0214855608408</v>
      </c>
      <c r="M229" s="12">
        <f t="shared" si="184"/>
        <v>0.7975877182433914</v>
      </c>
      <c r="N229" s="37">
        <f t="shared" si="170"/>
        <v>2376.4761454572863</v>
      </c>
      <c r="O229" s="1">
        <f t="shared" si="161"/>
        <v>57250.05108202648</v>
      </c>
      <c r="P229">
        <f t="shared" si="171"/>
        <v>239.26982902578104</v>
      </c>
      <c r="Q229" s="1">
        <f t="shared" si="172"/>
        <v>568.619041007412</v>
      </c>
      <c r="R229" s="1">
        <f>+Q229*1000/'Material Properties'!AE$35</f>
        <v>487639.9635613378</v>
      </c>
      <c r="S229" s="1">
        <f t="shared" si="173"/>
        <v>290.26188307222486</v>
      </c>
      <c r="T229" s="1">
        <f t="shared" si="174"/>
        <v>-24.30492572302819</v>
      </c>
      <c r="U229">
        <f t="shared" si="162"/>
        <v>-0.0003664997745137115</v>
      </c>
      <c r="V229">
        <f>+'Material Properties'!AE$31+'Material Properties'!AE$33</f>
        <v>0.00029034311030761144</v>
      </c>
      <c r="W229">
        <f t="shared" si="175"/>
        <v>-7.615666420610008E-05</v>
      </c>
      <c r="X229" s="1">
        <f>+'Volcano Summary'!E$12*10^9/Q229/3600/24/365</f>
        <v>0</v>
      </c>
      <c r="Y229" s="3">
        <f t="shared" si="176"/>
        <v>20</v>
      </c>
      <c r="Z229" s="1">
        <f>+Y229*'Volcano Summary'!B$19*'Volcano Summary'!B$20/1000</f>
        <v>810000</v>
      </c>
      <c r="AA229" s="1">
        <f t="shared" si="163"/>
        <v>1424503.8269646014</v>
      </c>
      <c r="AB229" s="3">
        <f t="shared" si="153"/>
        <v>395.6955074901671</v>
      </c>
      <c r="AC229" s="1">
        <f t="shared" si="177"/>
        <v>479857762.8240494</v>
      </c>
      <c r="AD229" s="36">
        <f t="shared" si="178"/>
        <v>133293.8230066804</v>
      </c>
      <c r="AE229" s="36">
        <f aca="true" t="shared" si="186" ref="AE229:AE292">+AD229/24</f>
        <v>5553.909291945017</v>
      </c>
      <c r="AG229" s="1">
        <f t="shared" si="164"/>
        <v>810000000</v>
      </c>
      <c r="AH229" s="1">
        <f t="shared" si="179"/>
        <v>810000</v>
      </c>
      <c r="AI229" s="1">
        <f t="shared" si="180"/>
        <v>810810000</v>
      </c>
      <c r="AJ229" s="1">
        <f t="shared" si="181"/>
        <v>60890137438.24033</v>
      </c>
      <c r="AK229" s="1">
        <f t="shared" si="182"/>
        <v>60951027575.67857</v>
      </c>
      <c r="AL229" s="39">
        <f>+AJ229/('Volcano Summary'!C$8)*10^6</f>
        <v>4227.16858432456</v>
      </c>
      <c r="AM229" s="1">
        <f t="shared" si="165"/>
        <v>5553.909291945017</v>
      </c>
    </row>
    <row r="230" spans="1:39" ht="12.75" hidden="1">
      <c r="A230" s="1">
        <f t="shared" si="185"/>
        <v>1424503.8269646014</v>
      </c>
      <c r="B230" s="1">
        <f aca="true" t="shared" si="187" ref="B230:B242">+AE230</f>
        <v>5570.163123220398</v>
      </c>
      <c r="C230" s="1">
        <f t="shared" si="157"/>
        <v>1700</v>
      </c>
      <c r="D230" s="12">
        <f t="shared" si="166"/>
        <v>46.52426491681278</v>
      </c>
      <c r="E230" s="38">
        <f t="shared" si="158"/>
        <v>491192817.351582</v>
      </c>
      <c r="F230" s="38">
        <f t="shared" si="159"/>
        <v>315811455.92832905</v>
      </c>
      <c r="G230" s="38">
        <f t="shared" si="160"/>
        <v>140430094.5050762</v>
      </c>
      <c r="H230" s="18">
        <f t="shared" si="167"/>
        <v>0.010747080064435616</v>
      </c>
      <c r="I230" s="50">
        <f t="shared" si="155"/>
        <v>0.04074890954619373</v>
      </c>
      <c r="J230" s="3">
        <f t="shared" si="168"/>
        <v>45.293179343138874</v>
      </c>
      <c r="K230" s="12">
        <f t="shared" si="183"/>
        <v>1.0129936195333447</v>
      </c>
      <c r="L230" s="3">
        <f t="shared" si="169"/>
        <v>1600.6102928215626</v>
      </c>
      <c r="M230" s="12">
        <f t="shared" si="184"/>
        <v>0.7967622662921611</v>
      </c>
      <c r="N230" s="37">
        <f t="shared" si="170"/>
        <v>2404.7675281413017</v>
      </c>
      <c r="O230" s="1">
        <f t="shared" si="161"/>
        <v>57528.73977784155</v>
      </c>
      <c r="P230">
        <f t="shared" si="171"/>
        <v>239.85149525871535</v>
      </c>
      <c r="Q230" s="1">
        <f t="shared" si="172"/>
        <v>576.787087374296</v>
      </c>
      <c r="R230" s="1">
        <f>+Q230*1000/'Material Properties'!AE$35</f>
        <v>494644.7691437501</v>
      </c>
      <c r="S230" s="1">
        <f t="shared" si="173"/>
        <v>290.9675112610295</v>
      </c>
      <c r="T230" s="1">
        <f t="shared" si="174"/>
        <v>-20.797721166078873</v>
      </c>
      <c r="U230">
        <f t="shared" si="162"/>
        <v>-0.00043109961831324604</v>
      </c>
      <c r="V230">
        <f>+'Material Properties'!AE$31+'Material Properties'!AE$33</f>
        <v>0.00029034311030761144</v>
      </c>
      <c r="W230">
        <f t="shared" si="175"/>
        <v>-0.0001407565080056346</v>
      </c>
      <c r="X230" s="1">
        <f>+'Volcano Summary'!E$12*10^9/Q230/3600/24/365</f>
        <v>0</v>
      </c>
      <c r="Y230" s="3">
        <f t="shared" si="176"/>
        <v>20</v>
      </c>
      <c r="Z230" s="1">
        <f>+Y230*'Volcano Summary'!B$19*'Volcano Summary'!B$20/1000</f>
        <v>810000</v>
      </c>
      <c r="AA230" s="1">
        <f t="shared" si="163"/>
        <v>1404331.0221928817</v>
      </c>
      <c r="AB230" s="3">
        <f t="shared" si="153"/>
        <v>390.0919506091338</v>
      </c>
      <c r="AC230" s="1">
        <f t="shared" si="177"/>
        <v>481262093.8462423</v>
      </c>
      <c r="AD230" s="36">
        <f t="shared" si="178"/>
        <v>133683.91495728955</v>
      </c>
      <c r="AE230" s="36">
        <f t="shared" si="186"/>
        <v>5570.163123220398</v>
      </c>
      <c r="AG230" s="1">
        <f t="shared" si="164"/>
        <v>810000000</v>
      </c>
      <c r="AH230" s="1">
        <f t="shared" si="179"/>
        <v>810000</v>
      </c>
      <c r="AI230" s="1">
        <f t="shared" si="180"/>
        <v>810810000</v>
      </c>
      <c r="AJ230" s="1">
        <f t="shared" si="181"/>
        <v>61700137438.24033</v>
      </c>
      <c r="AK230" s="1">
        <f t="shared" si="182"/>
        <v>61761837575.67857</v>
      </c>
      <c r="AL230" s="39">
        <f>+AJ230/('Volcano Summary'!C$8)*10^6</f>
        <v>4283.40111552513</v>
      </c>
      <c r="AM230" s="1">
        <f t="shared" si="165"/>
        <v>5570.163123220398</v>
      </c>
    </row>
    <row r="231" spans="1:39" ht="12.75" hidden="1">
      <c r="A231" s="1">
        <f t="shared" si="185"/>
        <v>1404331.0221928817</v>
      </c>
      <c r="B231" s="1">
        <f t="shared" si="187"/>
        <v>5586.1893895301555</v>
      </c>
      <c r="C231" s="1">
        <f t="shared" si="157"/>
        <v>1720</v>
      </c>
      <c r="D231" s="12">
        <f t="shared" si="166"/>
        <v>46.797136845585754</v>
      </c>
      <c r="E231" s="38">
        <f t="shared" si="158"/>
        <v>494073738.3443114</v>
      </c>
      <c r="F231" s="38">
        <f t="shared" si="159"/>
        <v>317663738.414938</v>
      </c>
      <c r="G231" s="38">
        <f t="shared" si="160"/>
        <v>141253738.48556438</v>
      </c>
      <c r="H231" s="18">
        <f t="shared" si="167"/>
        <v>0.010684414340343637</v>
      </c>
      <c r="I231" s="50">
        <f t="shared" si="155"/>
        <v>0.040696408543759784</v>
      </c>
      <c r="J231" s="3">
        <f t="shared" si="168"/>
        <v>44.981729104543035</v>
      </c>
      <c r="K231" s="12">
        <f t="shared" si="183"/>
        <v>1.010875757910893</v>
      </c>
      <c r="L231" s="3">
        <f t="shared" si="169"/>
        <v>1597.2639034205813</v>
      </c>
      <c r="M231" s="12">
        <f t="shared" si="184"/>
        <v>0.7959524956718119</v>
      </c>
      <c r="N231" s="37">
        <f t="shared" si="170"/>
        <v>2433.0589108253166</v>
      </c>
      <c r="O231" s="1">
        <f t="shared" si="161"/>
        <v>57805.956733399966</v>
      </c>
      <c r="P231">
        <f t="shared" si="171"/>
        <v>240.42869365655997</v>
      </c>
      <c r="Q231" s="1">
        <f t="shared" si="172"/>
        <v>584.9771755191836</v>
      </c>
      <c r="R231" s="1">
        <f>+Q231*1000/'Material Properties'!AE$35</f>
        <v>501668.4774554895</v>
      </c>
      <c r="S231" s="1">
        <f t="shared" si="173"/>
        <v>291.667719450866</v>
      </c>
      <c r="T231" s="1">
        <f t="shared" si="174"/>
        <v>-17.37145553340997</v>
      </c>
      <c r="U231">
        <f t="shared" si="162"/>
        <v>-0.0005207736488497308</v>
      </c>
      <c r="V231">
        <f>+'Material Properties'!AE$31+'Material Properties'!AE$33</f>
        <v>0.00029034311030761144</v>
      </c>
      <c r="W231">
        <f t="shared" si="175"/>
        <v>-0.00023043053854211932</v>
      </c>
      <c r="X231" s="1">
        <f>+'Volcano Summary'!E$12*10^9/Q231/3600/24/365</f>
        <v>0</v>
      </c>
      <c r="Y231" s="3">
        <f t="shared" si="176"/>
        <v>20</v>
      </c>
      <c r="Z231" s="1">
        <f>+Y231*'Volcano Summary'!B$19*'Volcano Summary'!B$20/1000</f>
        <v>810000</v>
      </c>
      <c r="AA231" s="1">
        <f t="shared" si="163"/>
        <v>1384669.4091630196</v>
      </c>
      <c r="AB231" s="3">
        <f t="shared" si="153"/>
        <v>384.6303914341721</v>
      </c>
      <c r="AC231" s="1">
        <f t="shared" si="177"/>
        <v>482646763.2554053</v>
      </c>
      <c r="AD231" s="36">
        <f t="shared" si="178"/>
        <v>134068.54534872374</v>
      </c>
      <c r="AE231" s="36">
        <f t="shared" si="186"/>
        <v>5586.1893895301555</v>
      </c>
      <c r="AG231" s="1">
        <f t="shared" si="164"/>
        <v>809999999.9999999</v>
      </c>
      <c r="AH231" s="1">
        <f t="shared" si="179"/>
        <v>810000</v>
      </c>
      <c r="AI231" s="1">
        <f t="shared" si="180"/>
        <v>810809999.9999999</v>
      </c>
      <c r="AJ231" s="1">
        <f t="shared" si="181"/>
        <v>62510137438.24033</v>
      </c>
      <c r="AK231" s="1">
        <f t="shared" si="182"/>
        <v>62572647575.67857</v>
      </c>
      <c r="AL231" s="39">
        <f>+AJ231/('Volcano Summary'!C$8)*10^6</f>
        <v>4339.633646725701</v>
      </c>
      <c r="AM231" s="1">
        <f t="shared" si="165"/>
        <v>5586.1893895301555</v>
      </c>
    </row>
    <row r="232" spans="1:39" ht="12.75" hidden="1">
      <c r="A232" s="1">
        <f t="shared" si="185"/>
        <v>1384669.4091630196</v>
      </c>
      <c r="B232" s="1">
        <f t="shared" si="187"/>
        <v>5601.993792535119</v>
      </c>
      <c r="C232" s="1">
        <f t="shared" si="157"/>
        <v>1740</v>
      </c>
      <c r="D232" s="12">
        <f t="shared" si="166"/>
        <v>47.068426868115985</v>
      </c>
      <c r="E232" s="38">
        <f t="shared" si="158"/>
        <v>496937957.92358416</v>
      </c>
      <c r="F232" s="38">
        <f t="shared" si="159"/>
        <v>319505282.7606099</v>
      </c>
      <c r="G232" s="38">
        <f t="shared" si="160"/>
        <v>142072607.5976358</v>
      </c>
      <c r="H232" s="18">
        <f t="shared" si="167"/>
        <v>0.01062283218857052</v>
      </c>
      <c r="I232" s="50">
        <f t="shared" si="155"/>
        <v>0.04064464728170305</v>
      </c>
      <c r="J232" s="3">
        <f t="shared" si="168"/>
        <v>44.67612674371705</v>
      </c>
      <c r="K232" s="12">
        <f t="shared" si="183"/>
        <v>1.0087976618572763</v>
      </c>
      <c r="L232" s="3">
        <f t="shared" si="169"/>
        <v>1593.9803467734791</v>
      </c>
      <c r="M232" s="12">
        <f t="shared" si="184"/>
        <v>0.7951579295336644</v>
      </c>
      <c r="N232" s="37">
        <f t="shared" si="170"/>
        <v>2461.350293509332</v>
      </c>
      <c r="O232" s="1">
        <f t="shared" si="161"/>
        <v>58081.72552706357</v>
      </c>
      <c r="P232">
        <f t="shared" si="171"/>
        <v>241.00150523816978</v>
      </c>
      <c r="Q232" s="1">
        <f t="shared" si="172"/>
        <v>593.1891256541601</v>
      </c>
      <c r="R232" s="1">
        <f>+Q232*1000/'Material Properties'!AE$35</f>
        <v>508710.9343128836</v>
      </c>
      <c r="S232" s="1">
        <f t="shared" si="173"/>
        <v>292.3626059269446</v>
      </c>
      <c r="T232" s="1">
        <f t="shared" si="174"/>
        <v>-14.023300098057007</v>
      </c>
      <c r="U232">
        <f t="shared" si="162"/>
        <v>-0.000653638942636846</v>
      </c>
      <c r="V232">
        <f>+'Material Properties'!AE$31+'Material Properties'!AE$33</f>
        <v>0.00029034311030761144</v>
      </c>
      <c r="W232">
        <f t="shared" si="175"/>
        <v>-0.00036329583232923453</v>
      </c>
      <c r="X232" s="1">
        <f>+'Volcano Summary'!E$12*10^9/Q232/3600/24/365</f>
        <v>0</v>
      </c>
      <c r="Y232" s="3">
        <f t="shared" si="176"/>
        <v>20</v>
      </c>
      <c r="Z232" s="1">
        <f>+Y232*'Volcano Summary'!B$19*'Volcano Summary'!B$20/1000</f>
        <v>810000</v>
      </c>
      <c r="AA232" s="1">
        <f t="shared" si="163"/>
        <v>1365500.419628806</v>
      </c>
      <c r="AB232" s="3">
        <f t="shared" si="153"/>
        <v>379.3056721191128</v>
      </c>
      <c r="AC232" s="1">
        <f t="shared" si="177"/>
        <v>484012263.6750341</v>
      </c>
      <c r="AD232" s="36">
        <f t="shared" si="178"/>
        <v>134447.85102084285</v>
      </c>
      <c r="AE232" s="36">
        <f t="shared" si="186"/>
        <v>5601.993792535119</v>
      </c>
      <c r="AG232" s="1">
        <f t="shared" si="164"/>
        <v>810000000.0000001</v>
      </c>
      <c r="AH232" s="1">
        <f t="shared" si="179"/>
        <v>810000</v>
      </c>
      <c r="AI232" s="1">
        <f t="shared" si="180"/>
        <v>810810000.0000001</v>
      </c>
      <c r="AJ232" s="1">
        <f t="shared" si="181"/>
        <v>63320137438.24033</v>
      </c>
      <c r="AK232" s="1">
        <f t="shared" si="182"/>
        <v>63383457575.67857</v>
      </c>
      <c r="AL232" s="39">
        <f>+AJ232/('Volcano Summary'!C$8)*10^6</f>
        <v>4395.866177926272</v>
      </c>
      <c r="AM232" s="1">
        <f t="shared" si="165"/>
        <v>5601.993792535119</v>
      </c>
    </row>
    <row r="233" spans="1:39" ht="12.75" hidden="1">
      <c r="A233" s="1">
        <f t="shared" si="185"/>
        <v>1365500.419628806</v>
      </c>
      <c r="B233" s="1">
        <f t="shared" si="187"/>
        <v>5617.581829108825</v>
      </c>
      <c r="C233" s="1">
        <f t="shared" si="157"/>
        <v>1760</v>
      </c>
      <c r="D233" s="12">
        <f t="shared" si="166"/>
        <v>47.33816218162558</v>
      </c>
      <c r="E233" s="38">
        <f t="shared" si="158"/>
        <v>499785763.2316075</v>
      </c>
      <c r="F233" s="38">
        <f t="shared" si="159"/>
        <v>321336273.5828629</v>
      </c>
      <c r="G233" s="38">
        <f t="shared" si="160"/>
        <v>142886783.93411824</v>
      </c>
      <c r="H233" s="18">
        <f t="shared" si="167"/>
        <v>0.01056230273751684</v>
      </c>
      <c r="I233" s="50">
        <f t="shared" si="155"/>
        <v>0.04059360684774966</v>
      </c>
      <c r="J233" s="3">
        <f t="shared" si="168"/>
        <v>44.37619647336686</v>
      </c>
      <c r="K233" s="12">
        <f t="shared" si="183"/>
        <v>1.0067581360188949</v>
      </c>
      <c r="L233" s="3">
        <f t="shared" si="169"/>
        <v>1590.7577341267256</v>
      </c>
      <c r="M233" s="12">
        <f t="shared" si="184"/>
        <v>0.7943781108307539</v>
      </c>
      <c r="N233" s="37">
        <f t="shared" si="170"/>
        <v>2489.641676193348</v>
      </c>
      <c r="O233" s="1">
        <f t="shared" si="161"/>
        <v>58356.06909561514</v>
      </c>
      <c r="P233">
        <f t="shared" si="171"/>
        <v>241.57000868405652</v>
      </c>
      <c r="Q233" s="1">
        <f t="shared" si="172"/>
        <v>601.422761338216</v>
      </c>
      <c r="R233" s="1">
        <f>+Q233*1000/'Material Properties'!AE$35</f>
        <v>515771.9884025197</v>
      </c>
      <c r="S233" s="1">
        <f t="shared" si="173"/>
        <v>293.0522661377953</v>
      </c>
      <c r="T233" s="1">
        <f t="shared" si="174"/>
        <v>-10.750557140337378</v>
      </c>
      <c r="U233">
        <f t="shared" si="162"/>
        <v>-0.0008708035370785342</v>
      </c>
      <c r="V233">
        <f>+'Material Properties'!AE$31+'Material Properties'!AE$33</f>
        <v>0.00029034311030761144</v>
      </c>
      <c r="W233">
        <f t="shared" si="175"/>
        <v>-0.0005804604267709227</v>
      </c>
      <c r="X233" s="1">
        <f>+'Volcano Summary'!E$12*10^9/Q233/3600/24/365</f>
        <v>0</v>
      </c>
      <c r="Y233" s="3">
        <f t="shared" si="176"/>
        <v>20</v>
      </c>
      <c r="Z233" s="1">
        <f>+Y233*'Volcano Summary'!B$19*'Volcano Summary'!B$20/1000</f>
        <v>810000</v>
      </c>
      <c r="AA233" s="1">
        <f t="shared" si="163"/>
        <v>1346806.3599682895</v>
      </c>
      <c r="AB233" s="3">
        <f t="shared" si="153"/>
        <v>374.1128777689693</v>
      </c>
      <c r="AC233" s="1">
        <f t="shared" si="177"/>
        <v>485359070.0350024</v>
      </c>
      <c r="AD233" s="36">
        <f t="shared" si="178"/>
        <v>134821.9638986118</v>
      </c>
      <c r="AE233" s="36">
        <f t="shared" si="186"/>
        <v>5617.581829108825</v>
      </c>
      <c r="AG233" s="1">
        <f t="shared" si="164"/>
        <v>810000000</v>
      </c>
      <c r="AH233" s="1">
        <f t="shared" si="179"/>
        <v>810000</v>
      </c>
      <c r="AI233" s="1">
        <f t="shared" si="180"/>
        <v>810810000</v>
      </c>
      <c r="AJ233" s="1">
        <f t="shared" si="181"/>
        <v>64130137438.24033</v>
      </c>
      <c r="AK233" s="1">
        <f t="shared" si="182"/>
        <v>64194267575.67857</v>
      </c>
      <c r="AL233" s="39">
        <f>+AJ233/('Volcano Summary'!C$8)*10^6</f>
        <v>4452.098709126843</v>
      </c>
      <c r="AM233" s="1">
        <f t="shared" si="165"/>
        <v>5617.581829108825</v>
      </c>
    </row>
    <row r="234" spans="1:39" ht="12.75" hidden="1">
      <c r="A234" s="1">
        <f t="shared" si="185"/>
        <v>1346806.3599682895</v>
      </c>
      <c r="B234" s="1">
        <f t="shared" si="187"/>
        <v>5632.958800876669</v>
      </c>
      <c r="C234" s="1">
        <f t="shared" si="157"/>
        <v>1780</v>
      </c>
      <c r="D234" s="12">
        <f t="shared" si="166"/>
        <v>47.60636921283317</v>
      </c>
      <c r="E234" s="38">
        <f t="shared" si="158"/>
        <v>502617433.27578604</v>
      </c>
      <c r="F234" s="38">
        <f t="shared" si="159"/>
        <v>323156890.26895857</v>
      </c>
      <c r="G234" s="38">
        <f t="shared" si="160"/>
        <v>143696347.26213112</v>
      </c>
      <c r="H234" s="18">
        <f t="shared" si="167"/>
        <v>0.010502796333084267</v>
      </c>
      <c r="I234" s="50">
        <f t="shared" si="155"/>
        <v>0.040543269023704365</v>
      </c>
      <c r="J234" s="3">
        <f t="shared" si="168"/>
        <v>44.08176972334112</v>
      </c>
      <c r="K234" s="12">
        <f t="shared" si="183"/>
        <v>1.0047560341187198</v>
      </c>
      <c r="L234" s="3">
        <f t="shared" si="169"/>
        <v>1587.594254271666</v>
      </c>
      <c r="M234" s="12">
        <f t="shared" si="184"/>
        <v>0.793612601280687</v>
      </c>
      <c r="N234" s="37">
        <f t="shared" si="170"/>
        <v>2517.933058877364</v>
      </c>
      <c r="O234" s="1">
        <f t="shared" si="161"/>
        <v>58629.0097587614</v>
      </c>
      <c r="P234">
        <f t="shared" si="171"/>
        <v>242.13428042877655</v>
      </c>
      <c r="Q234" s="1">
        <f t="shared" si="172"/>
        <v>609.6779093790988</v>
      </c>
      <c r="R234" s="1">
        <f>+Q234*1000/'Material Properties'!AE$35</f>
        <v>522851.4911970754</v>
      </c>
      <c r="S234" s="1">
        <f t="shared" si="173"/>
        <v>293.73679280734575</v>
      </c>
      <c r="T234" s="1">
        <f t="shared" si="174"/>
        <v>-7.550652439999567</v>
      </c>
      <c r="U234">
        <f t="shared" si="162"/>
        <v>-0.0012897832321546723</v>
      </c>
      <c r="V234">
        <f>+'Material Properties'!AE$31+'Material Properties'!AE$33</f>
        <v>0.00029034311030761144</v>
      </c>
      <c r="W234">
        <f t="shared" si="175"/>
        <v>-0.000999440121847061</v>
      </c>
      <c r="X234" s="1">
        <f>+'Volcano Summary'!E$12*10^9/Q234/3600/24/365</f>
        <v>0</v>
      </c>
      <c r="Y234" s="3">
        <f t="shared" si="176"/>
        <v>20</v>
      </c>
      <c r="Z234" s="1">
        <f>+Y234*'Volcano Summary'!B$19*'Volcano Summary'!B$20/1000</f>
        <v>810000</v>
      </c>
      <c r="AA234" s="1">
        <f t="shared" si="163"/>
        <v>1328570.360741643</v>
      </c>
      <c r="AB234" s="3">
        <f t="shared" si="153"/>
        <v>369.04732242823417</v>
      </c>
      <c r="AC234" s="1">
        <f t="shared" si="177"/>
        <v>486687640.395744</v>
      </c>
      <c r="AD234" s="36">
        <f t="shared" si="178"/>
        <v>135191.01122104004</v>
      </c>
      <c r="AE234" s="36">
        <f t="shared" si="186"/>
        <v>5632.958800876669</v>
      </c>
      <c r="AG234" s="1">
        <f t="shared" si="164"/>
        <v>810000000</v>
      </c>
      <c r="AH234" s="1">
        <f t="shared" si="179"/>
        <v>810000</v>
      </c>
      <c r="AI234" s="1">
        <f t="shared" si="180"/>
        <v>810810000</v>
      </c>
      <c r="AJ234" s="1">
        <f t="shared" si="181"/>
        <v>64940137438.24033</v>
      </c>
      <c r="AK234" s="1">
        <f t="shared" si="182"/>
        <v>65005077575.67857</v>
      </c>
      <c r="AL234" s="39">
        <f>+AJ234/('Volcano Summary'!C$8)*10^6</f>
        <v>4508.331240327413</v>
      </c>
      <c r="AM234" s="1">
        <f t="shared" si="165"/>
        <v>5632.958800876669</v>
      </c>
    </row>
    <row r="235" spans="1:39" ht="12.75" hidden="1">
      <c r="A235" s="1">
        <f t="shared" si="185"/>
        <v>1328570.360741643</v>
      </c>
      <c r="B235" s="1">
        <f t="shared" si="187"/>
        <v>5648.129823210936</v>
      </c>
      <c r="C235" s="1">
        <f t="shared" si="157"/>
        <v>1800</v>
      </c>
      <c r="D235" s="12">
        <f t="shared" si="166"/>
        <v>47.873073648171925</v>
      </c>
      <c r="E235" s="38">
        <f t="shared" si="158"/>
        <v>505433239.24775445</v>
      </c>
      <c r="F235" s="38">
        <f t="shared" si="159"/>
        <v>324967307.1810253</v>
      </c>
      <c r="G235" s="38">
        <f t="shared" si="160"/>
        <v>144501375.11429623</v>
      </c>
      <c r="H235" s="18">
        <f t="shared" si="167"/>
        <v>0.010444284477629169</v>
      </c>
      <c r="I235" s="50">
        <f t="shared" si="155"/>
        <v>0.04049361625244697</v>
      </c>
      <c r="J235" s="3">
        <f t="shared" si="168"/>
        <v>43.79268476685041</v>
      </c>
      <c r="K235" s="12">
        <f t="shared" si="183"/>
        <v>1.002790256414583</v>
      </c>
      <c r="L235" s="3">
        <f t="shared" si="169"/>
        <v>1584.4881695284175</v>
      </c>
      <c r="M235" s="12">
        <f t="shared" si="184"/>
        <v>0.7928609803938111</v>
      </c>
      <c r="N235" s="37">
        <f t="shared" si="170"/>
        <v>2546.2244415613786</v>
      </c>
      <c r="O235" s="1">
        <f t="shared" si="161"/>
        <v>58900.56924243694</v>
      </c>
      <c r="P235">
        <f t="shared" si="171"/>
        <v>242.6943947486982</v>
      </c>
      <c r="Q235" s="1">
        <f t="shared" si="172"/>
        <v>617.9543997390808</v>
      </c>
      <c r="R235" s="1">
        <f>+Q235*1000/'Material Properties'!AE$35</f>
        <v>529949.2968745057</v>
      </c>
      <c r="S235" s="1">
        <f t="shared" si="173"/>
        <v>294.41627604139205</v>
      </c>
      <c r="T235" s="1">
        <f t="shared" si="174"/>
        <v>-4.421128278857395</v>
      </c>
      <c r="U235">
        <f t="shared" si="162"/>
        <v>-0.0024361225495549183</v>
      </c>
      <c r="V235">
        <f>+'Material Properties'!AE$31+'Material Properties'!AE$33</f>
        <v>0.00029034311030761144</v>
      </c>
      <c r="W235">
        <f t="shared" si="175"/>
        <v>-0.002145779439247307</v>
      </c>
      <c r="X235" s="1">
        <f>+'Volcano Summary'!E$12*10^9/Q235/3600/24/365</f>
        <v>0</v>
      </c>
      <c r="Y235" s="3">
        <f t="shared" si="176"/>
        <v>20</v>
      </c>
      <c r="Z235" s="1">
        <f>+Y235*'Volcano Summary'!B$19*'Volcano Summary'!B$20/1000</f>
        <v>810000</v>
      </c>
      <c r="AA235" s="1">
        <f t="shared" si="163"/>
        <v>1310776.3296806475</v>
      </c>
      <c r="AB235" s="3">
        <f t="shared" si="153"/>
        <v>364.1045360224021</v>
      </c>
      <c r="AC235" s="1">
        <f t="shared" si="177"/>
        <v>487998416.72542465</v>
      </c>
      <c r="AD235" s="36">
        <f t="shared" si="178"/>
        <v>135555.11575706245</v>
      </c>
      <c r="AE235" s="36">
        <f t="shared" si="186"/>
        <v>5648.129823210936</v>
      </c>
      <c r="AG235" s="1">
        <f t="shared" si="164"/>
        <v>810000000</v>
      </c>
      <c r="AH235" s="1">
        <f t="shared" si="179"/>
        <v>810000</v>
      </c>
      <c r="AI235" s="1">
        <f t="shared" si="180"/>
        <v>810810000</v>
      </c>
      <c r="AJ235" s="1">
        <f t="shared" si="181"/>
        <v>65750137438.24033</v>
      </c>
      <c r="AK235" s="1">
        <f t="shared" si="182"/>
        <v>65815887575.67857</v>
      </c>
      <c r="AL235" s="39">
        <f>+AJ235/('Volcano Summary'!C$8)*10^6</f>
        <v>4564.563771527984</v>
      </c>
      <c r="AM235" s="1">
        <f t="shared" si="165"/>
        <v>5648.129823210936</v>
      </c>
    </row>
    <row r="236" spans="1:39" ht="12.75" hidden="1">
      <c r="A236" s="1">
        <f t="shared" si="185"/>
        <v>1310776.3296806475</v>
      </c>
      <c r="B236" s="1">
        <f t="shared" si="187"/>
        <v>5663.09983371836</v>
      </c>
      <c r="C236" s="1">
        <f t="shared" si="157"/>
        <v>1820</v>
      </c>
      <c r="D236" s="12">
        <f t="shared" si="166"/>
        <v>48.13830046250071</v>
      </c>
      <c r="E236" s="38">
        <f t="shared" si="158"/>
        <v>508233444.82650536</v>
      </c>
      <c r="F236" s="38">
        <f t="shared" si="159"/>
        <v>326767693.8509528</v>
      </c>
      <c r="G236" s="38">
        <f t="shared" si="160"/>
        <v>145301942.87540045</v>
      </c>
      <c r="H236" s="18">
        <f t="shared" si="167"/>
        <v>0.010386739772616097</v>
      </c>
      <c r="I236" s="50">
        <f t="shared" si="155"/>
        <v>0.040444631606847636</v>
      </c>
      <c r="J236" s="3">
        <f t="shared" si="168"/>
        <v>43.508786369965044</v>
      </c>
      <c r="K236" s="12">
        <f t="shared" si="183"/>
        <v>1.0008597473157625</v>
      </c>
      <c r="L236" s="3">
        <f t="shared" si="169"/>
        <v>1581.4378119798862</v>
      </c>
      <c r="M236" s="12">
        <f t="shared" si="184"/>
        <v>0.7921228445619092</v>
      </c>
      <c r="N236" s="37">
        <f t="shared" si="170"/>
        <v>2574.5158242453936</v>
      </c>
      <c r="O236" s="1">
        <f t="shared" si="161"/>
        <v>59170.76870098026</v>
      </c>
      <c r="P236">
        <f t="shared" si="171"/>
        <v>243.25042384542778</v>
      </c>
      <c r="Q236" s="1">
        <f t="shared" si="172"/>
        <v>626.2520654444528</v>
      </c>
      <c r="R236" s="1">
        <f>+Q236*1000/'Material Properties'!AE$35</f>
        <v>537065.2622404264</v>
      </c>
      <c r="S236" s="1">
        <f t="shared" si="173"/>
        <v>295.0908034288057</v>
      </c>
      <c r="T236" s="1">
        <f t="shared" si="174"/>
        <v>-1.3596369138952014</v>
      </c>
      <c r="U236">
        <f t="shared" si="162"/>
        <v>-0.018662339208803815</v>
      </c>
      <c r="V236">
        <f>+'Material Properties'!AE$31+'Material Properties'!AE$33</f>
        <v>0.00029034311030761144</v>
      </c>
      <c r="W236">
        <f t="shared" si="175"/>
        <v>-0.018371996098496202</v>
      </c>
      <c r="X236" s="1">
        <f>+'Volcano Summary'!E$12*10^9/Q236/3600/24/365</f>
        <v>0</v>
      </c>
      <c r="Y236" s="3">
        <f t="shared" si="176"/>
        <v>20</v>
      </c>
      <c r="Z236" s="1">
        <f>+Y236*'Volcano Summary'!B$19*'Volcano Summary'!B$20/1000</f>
        <v>810000</v>
      </c>
      <c r="AA236" s="1">
        <f t="shared" si="163"/>
        <v>1293408.9078415108</v>
      </c>
      <c r="AB236" s="3">
        <f t="shared" si="153"/>
        <v>359.28025217819743</v>
      </c>
      <c r="AC236" s="1">
        <f t="shared" si="177"/>
        <v>489291825.63326615</v>
      </c>
      <c r="AD236" s="36">
        <f t="shared" si="178"/>
        <v>135914.39600924065</v>
      </c>
      <c r="AE236" s="36">
        <f t="shared" si="186"/>
        <v>5663.09983371836</v>
      </c>
      <c r="AG236" s="1">
        <f t="shared" si="164"/>
        <v>810000000.0000001</v>
      </c>
      <c r="AH236" s="1">
        <f t="shared" si="179"/>
        <v>810000</v>
      </c>
      <c r="AI236" s="1">
        <f t="shared" si="180"/>
        <v>810810000.0000001</v>
      </c>
      <c r="AJ236" s="1">
        <f t="shared" si="181"/>
        <v>66560137438.24033</v>
      </c>
      <c r="AK236" s="1">
        <f t="shared" si="182"/>
        <v>66626697575.67857</v>
      </c>
      <c r="AL236" s="39">
        <f>+AJ236/('Volcano Summary'!C$8)*10^6</f>
        <v>4620.796302728555</v>
      </c>
      <c r="AM236" s="1">
        <f t="shared" si="165"/>
        <v>5663.09983371836</v>
      </c>
    </row>
    <row r="237" spans="1:39" ht="12.75" hidden="1">
      <c r="A237" s="1">
        <f t="shared" si="185"/>
        <v>1293408.9078415108</v>
      </c>
      <c r="B237" s="1">
        <f t="shared" si="187"/>
        <v>5677.873600253966</v>
      </c>
      <c r="C237" s="1">
        <f t="shared" si="157"/>
        <v>1840</v>
      </c>
      <c r="D237" s="12">
        <f t="shared" si="166"/>
        <v>48.402073946399234</v>
      </c>
      <c r="E237" s="38">
        <f t="shared" si="158"/>
        <v>511018306.46656394</v>
      </c>
      <c r="F237" s="38">
        <f t="shared" si="159"/>
        <v>328558215.1656739</v>
      </c>
      <c r="G237" s="38">
        <f t="shared" si="160"/>
        <v>146098123.86478385</v>
      </c>
      <c r="H237" s="18">
        <f t="shared" si="167"/>
        <v>0.010330135864709086</v>
      </c>
      <c r="I237" s="50">
        <f t="shared" si="155"/>
        <v>0.04039629876046967</v>
      </c>
      <c r="J237" s="3">
        <f t="shared" si="168"/>
        <v>43.2299254627031</v>
      </c>
      <c r="K237" s="12">
        <f t="shared" si="183"/>
        <v>0.9989634931463813</v>
      </c>
      <c r="L237" s="3">
        <f t="shared" si="169"/>
        <v>1578.4415799377578</v>
      </c>
      <c r="M237" s="12">
        <f t="shared" si="184"/>
        <v>0.7913978062030281</v>
      </c>
      <c r="N237" s="37">
        <f t="shared" si="170"/>
        <v>2602.8072069294094</v>
      </c>
      <c r="O237" s="1">
        <f t="shared" si="161"/>
        <v>59439.62873824825</v>
      </c>
      <c r="P237">
        <f t="shared" si="171"/>
        <v>243.80243792515333</v>
      </c>
      <c r="Q237" s="1">
        <f t="shared" si="172"/>
        <v>634.5707424985491</v>
      </c>
      <c r="R237" s="1">
        <f>+Q237*1000/'Material Properties'!AE$35</f>
        <v>544199.2466535252</v>
      </c>
      <c r="S237" s="1">
        <f t="shared" si="173"/>
        <v>295.7604601377854</v>
      </c>
      <c r="T237" s="1">
        <f t="shared" si="174"/>
        <v>1.636065515642258</v>
      </c>
      <c r="U237">
        <f t="shared" si="162"/>
        <v>0.0033823653005382428</v>
      </c>
      <c r="V237">
        <f>+'Material Properties'!AE$31+'Material Properties'!AE$33</f>
        <v>0.00029034311030761144</v>
      </c>
      <c r="W237">
        <f t="shared" si="175"/>
        <v>0.003672708410845854</v>
      </c>
      <c r="X237" s="1">
        <f>+'Volcano Summary'!E$12*10^9/Q237/3600/24/365</f>
        <v>0</v>
      </c>
      <c r="Y237" s="3">
        <f t="shared" si="176"/>
        <v>20</v>
      </c>
      <c r="Z237" s="1">
        <f>+Y237*'Volcano Summary'!B$19*'Volcano Summary'!B$20/1000</f>
        <v>810000</v>
      </c>
      <c r="AA237" s="1">
        <f t="shared" si="163"/>
        <v>1276453.428676397</v>
      </c>
      <c r="AB237" s="3">
        <f t="shared" si="153"/>
        <v>354.57039685455476</v>
      </c>
      <c r="AC237" s="1">
        <f t="shared" si="177"/>
        <v>490568279.0619426</v>
      </c>
      <c r="AD237" s="36">
        <f t="shared" si="178"/>
        <v>136268.9664060952</v>
      </c>
      <c r="AE237" s="36">
        <f t="shared" si="186"/>
        <v>5677.873600253966</v>
      </c>
      <c r="AG237" s="1">
        <f t="shared" si="164"/>
        <v>810000000</v>
      </c>
      <c r="AH237" s="1">
        <f t="shared" si="179"/>
        <v>810000</v>
      </c>
      <c r="AI237" s="1">
        <f t="shared" si="180"/>
        <v>810810000</v>
      </c>
      <c r="AJ237" s="1">
        <f t="shared" si="181"/>
        <v>67370137438.24033</v>
      </c>
      <c r="AK237" s="1">
        <f t="shared" si="182"/>
        <v>67437507575.67857</v>
      </c>
      <c r="AL237" s="39">
        <f>+AJ237/('Volcano Summary'!C$8)*10^6</f>
        <v>4677.0288339291255</v>
      </c>
      <c r="AM237" s="1">
        <f t="shared" si="165"/>
        <v>5677.873600253966</v>
      </c>
    </row>
    <row r="238" spans="1:39" ht="12.75" hidden="1">
      <c r="A238" s="1">
        <f t="shared" si="185"/>
        <v>1276453.428676397</v>
      </c>
      <c r="B238" s="1">
        <f t="shared" si="187"/>
        <v>5692.455728492397</v>
      </c>
      <c r="C238" s="1">
        <f t="shared" si="157"/>
        <v>1860</v>
      </c>
      <c r="D238" s="12">
        <f t="shared" si="166"/>
        <v>48.66441773213158</v>
      </c>
      <c r="E238" s="38">
        <f t="shared" si="158"/>
        <v>513788073.67210627</v>
      </c>
      <c r="F238" s="38">
        <f t="shared" si="159"/>
        <v>330339031.54340756</v>
      </c>
      <c r="G238" s="38">
        <f t="shared" si="160"/>
        <v>146889989.41470894</v>
      </c>
      <c r="H238" s="18">
        <f t="shared" si="167"/>
        <v>0.010274447395059774</v>
      </c>
      <c r="I238" s="50">
        <f t="shared" si="155"/>
        <v>0.04034860195993861</v>
      </c>
      <c r="J238" s="3">
        <f t="shared" si="168"/>
        <v>42.955958830159496</v>
      </c>
      <c r="K238" s="12">
        <f t="shared" si="183"/>
        <v>0.9971005200450849</v>
      </c>
      <c r="L238" s="3">
        <f t="shared" si="169"/>
        <v>1575.4979346238233</v>
      </c>
      <c r="M238" s="12">
        <f t="shared" si="184"/>
        <v>0.7906854929584147</v>
      </c>
      <c r="N238" s="37">
        <f t="shared" si="170"/>
        <v>2631.0985896134243</v>
      </c>
      <c r="O238" s="1">
        <f t="shared" si="161"/>
        <v>59707.16942773103</v>
      </c>
      <c r="P238">
        <f t="shared" si="171"/>
        <v>244.3505052741472</v>
      </c>
      <c r="Q238" s="1">
        <f t="shared" si="172"/>
        <v>642.9102697981364</v>
      </c>
      <c r="R238" s="1">
        <f>+Q238*1000/'Material Properties'!AE$35</f>
        <v>551351.111953858</v>
      </c>
      <c r="S238" s="1">
        <f t="shared" si="173"/>
        <v>296.42532900745056</v>
      </c>
      <c r="T238" s="1">
        <f t="shared" si="174"/>
        <v>4.5681246804520015</v>
      </c>
      <c r="U238">
        <f t="shared" si="162"/>
        <v>0.0015687096584803804</v>
      </c>
      <c r="V238">
        <f>+'Material Properties'!AE$31+'Material Properties'!AE$33</f>
        <v>0.00029034311030761144</v>
      </c>
      <c r="W238">
        <f t="shared" si="175"/>
        <v>0.001859052768787992</v>
      </c>
      <c r="X238" s="1">
        <f>+'Volcano Summary'!E$12*10^9/Q238/3600/24/365</f>
        <v>0</v>
      </c>
      <c r="Y238" s="3">
        <f t="shared" si="176"/>
        <v>20</v>
      </c>
      <c r="Z238" s="1">
        <f>+Y238*'Volcano Summary'!B$19*'Volcano Summary'!B$20/1000</f>
        <v>810000</v>
      </c>
      <c r="AA238" s="1">
        <f t="shared" si="163"/>
        <v>1259895.8798003446</v>
      </c>
      <c r="AB238" s="3">
        <f t="shared" si="153"/>
        <v>349.97107772231794</v>
      </c>
      <c r="AC238" s="1">
        <f t="shared" si="177"/>
        <v>491828174.9417429</v>
      </c>
      <c r="AD238" s="36">
        <f t="shared" si="178"/>
        <v>136618.9374838175</v>
      </c>
      <c r="AE238" s="36">
        <f t="shared" si="186"/>
        <v>5692.455728492397</v>
      </c>
      <c r="AG238" s="1">
        <f t="shared" si="164"/>
        <v>809999999.9999999</v>
      </c>
      <c r="AH238" s="1">
        <f t="shared" si="179"/>
        <v>810000</v>
      </c>
      <c r="AI238" s="1">
        <f t="shared" si="180"/>
        <v>810809999.9999999</v>
      </c>
      <c r="AJ238" s="1">
        <f t="shared" si="181"/>
        <v>68180137438.24033</v>
      </c>
      <c r="AK238" s="1">
        <f t="shared" si="182"/>
        <v>68248317575.67857</v>
      </c>
      <c r="AL238" s="39">
        <f>+AJ238/('Volcano Summary'!C$8)*10^6</f>
        <v>4733.261365129696</v>
      </c>
      <c r="AM238" s="1">
        <f t="shared" si="165"/>
        <v>5692.455728492397</v>
      </c>
    </row>
    <row r="239" spans="1:39" ht="12.75" hidden="1">
      <c r="A239" s="1">
        <f t="shared" si="185"/>
        <v>1259895.8798003446</v>
      </c>
      <c r="B239" s="1">
        <f t="shared" si="187"/>
        <v>5706.850669085562</v>
      </c>
      <c r="C239" s="1">
        <f t="shared" si="157"/>
        <v>1880</v>
      </c>
      <c r="D239" s="12">
        <f t="shared" si="166"/>
        <v>48.925354818356766</v>
      </c>
      <c r="E239" s="38">
        <f t="shared" si="158"/>
        <v>516542989.257847</v>
      </c>
      <c r="F239" s="38">
        <f t="shared" si="159"/>
        <v>332110299.10139734</v>
      </c>
      <c r="G239" s="38">
        <f t="shared" si="160"/>
        <v>147677608.9449477</v>
      </c>
      <c r="H239" s="18">
        <f t="shared" si="167"/>
        <v>0.010219649951570719</v>
      </c>
      <c r="I239" s="50">
        <f t="shared" si="155"/>
        <v>0.04030152599886609</v>
      </c>
      <c r="J239" s="3">
        <f t="shared" si="168"/>
        <v>42.6867488222538</v>
      </c>
      <c r="K239" s="12">
        <f t="shared" si="183"/>
        <v>0.9952698919913261</v>
      </c>
      <c r="L239" s="3">
        <f t="shared" si="169"/>
        <v>1572.6053970513517</v>
      </c>
      <c r="M239" s="12">
        <f t="shared" si="184"/>
        <v>0.7899855469378599</v>
      </c>
      <c r="N239" s="37">
        <f t="shared" si="170"/>
        <v>2659.38997229744</v>
      </c>
      <c r="O239" s="1">
        <f t="shared" si="161"/>
        <v>59973.41033172427</v>
      </c>
      <c r="P239">
        <f t="shared" si="171"/>
        <v>244.8946923306511</v>
      </c>
      <c r="Q239" s="1">
        <f t="shared" si="172"/>
        <v>651.2704890530003</v>
      </c>
      <c r="R239" s="1">
        <f>+Q239*1000/'Material Properties'!AE$35</f>
        <v>558520.7223938883</v>
      </c>
      <c r="S239" s="1">
        <f t="shared" si="173"/>
        <v>297.08549063504694</v>
      </c>
      <c r="T239" s="1">
        <f t="shared" si="174"/>
        <v>7.438593383076295</v>
      </c>
      <c r="U239">
        <f t="shared" si="162"/>
        <v>0.001028698679253193</v>
      </c>
      <c r="V239">
        <f>+'Material Properties'!AE$31+'Material Properties'!AE$33</f>
        <v>0.00029034311030761144</v>
      </c>
      <c r="W239">
        <f t="shared" si="175"/>
        <v>0.0013190417895608043</v>
      </c>
      <c r="X239" s="1">
        <f>+'Volcano Summary'!E$12*10^9/Q239/3600/24/365</f>
        <v>0</v>
      </c>
      <c r="Y239" s="3">
        <f t="shared" si="176"/>
        <v>20</v>
      </c>
      <c r="Z239" s="1">
        <f>+Y239*'Volcano Summary'!B$19*'Volcano Summary'!B$20/1000</f>
        <v>810000</v>
      </c>
      <c r="AA239" s="1">
        <f t="shared" si="163"/>
        <v>1243722.8672495282</v>
      </c>
      <c r="AB239" s="3">
        <f t="shared" si="153"/>
        <v>345.47857423598003</v>
      </c>
      <c r="AC239" s="1">
        <f t="shared" si="177"/>
        <v>493071897.80899245</v>
      </c>
      <c r="AD239" s="36">
        <f t="shared" si="178"/>
        <v>136964.4160580535</v>
      </c>
      <c r="AE239" s="36">
        <f t="shared" si="186"/>
        <v>5706.850669085562</v>
      </c>
      <c r="AG239" s="1">
        <f t="shared" si="164"/>
        <v>810000000</v>
      </c>
      <c r="AH239" s="1">
        <f t="shared" si="179"/>
        <v>810000</v>
      </c>
      <c r="AI239" s="1">
        <f t="shared" si="180"/>
        <v>810810000</v>
      </c>
      <c r="AJ239" s="1">
        <f t="shared" si="181"/>
        <v>68990137438.24033</v>
      </c>
      <c r="AK239" s="1">
        <f t="shared" si="182"/>
        <v>69059127575.67857</v>
      </c>
      <c r="AL239" s="39">
        <f>+AJ239/('Volcano Summary'!C$8)*10^6</f>
        <v>4789.493896330267</v>
      </c>
      <c r="AM239" s="1">
        <f t="shared" si="165"/>
        <v>5706.850669085562</v>
      </c>
    </row>
    <row r="240" spans="1:39" ht="12.75" hidden="1">
      <c r="A240" s="1">
        <f t="shared" si="185"/>
        <v>1243722.8672495282</v>
      </c>
      <c r="B240" s="1">
        <f t="shared" si="187"/>
        <v>5721.062724433296</v>
      </c>
      <c r="C240" s="1">
        <f t="shared" si="157"/>
        <v>1900</v>
      </c>
      <c r="D240" s="12">
        <f t="shared" si="166"/>
        <v>49.18490759365935</v>
      </c>
      <c r="E240" s="38">
        <f t="shared" si="158"/>
        <v>519283289.597471</v>
      </c>
      <c r="F240" s="38">
        <f t="shared" si="159"/>
        <v>333872169.81563884</v>
      </c>
      <c r="G240" s="38">
        <f t="shared" si="160"/>
        <v>148461050.03380674</v>
      </c>
      <c r="H240" s="18">
        <f t="shared" si="167"/>
        <v>0.010165720023929806</v>
      </c>
      <c r="I240" s="50">
        <f t="shared" si="155"/>
        <v>0.04025505619322518</v>
      </c>
      <c r="J240" s="3">
        <f t="shared" si="168"/>
        <v>42.42216308078888</v>
      </c>
      <c r="K240" s="12">
        <f t="shared" si="183"/>
        <v>0.9934707089493646</v>
      </c>
      <c r="L240" s="3">
        <f t="shared" si="169"/>
        <v>1569.7625450924616</v>
      </c>
      <c r="M240" s="12">
        <f t="shared" si="184"/>
        <v>0.7892976240100511</v>
      </c>
      <c r="N240" s="37">
        <f t="shared" si="170"/>
        <v>2687.681354981454</v>
      </c>
      <c r="O240" s="1">
        <f t="shared" si="161"/>
        <v>60238.37051961325</v>
      </c>
      <c r="P240">
        <f t="shared" si="171"/>
        <v>245.43506375335463</v>
      </c>
      <c r="Q240" s="1">
        <f t="shared" si="172"/>
        <v>659.6512447085757</v>
      </c>
      <c r="R240" s="1">
        <f>+Q240*1000/'Material Properties'!AE$35</f>
        <v>565707.944572134</v>
      </c>
      <c r="S240" s="1">
        <f t="shared" si="173"/>
        <v>297.74102345901787</v>
      </c>
      <c r="T240" s="1">
        <f t="shared" si="174"/>
        <v>10.249436537294741</v>
      </c>
      <c r="U240">
        <f t="shared" si="162"/>
        <v>0.0007693572649440192</v>
      </c>
      <c r="V240">
        <f>+'Material Properties'!AE$31+'Material Properties'!AE$33</f>
        <v>0.00029034311030761144</v>
      </c>
      <c r="W240">
        <f t="shared" si="175"/>
        <v>0.0010597003752516308</v>
      </c>
      <c r="X240" s="1">
        <f>+'Volcano Summary'!E$12*10^9/Q240/3600/24/365</f>
        <v>0</v>
      </c>
      <c r="Y240" s="3">
        <f t="shared" si="176"/>
        <v>20</v>
      </c>
      <c r="Z240" s="1">
        <f>+Y240*'Volcano Summary'!B$19*'Volcano Summary'!B$20/1000</f>
        <v>810000</v>
      </c>
      <c r="AA240" s="1">
        <f t="shared" si="163"/>
        <v>1227921.5820442303</v>
      </c>
      <c r="AB240" s="3">
        <f aca="true" t="shared" si="188" ref="AB240:AB303">+AA240/3600</f>
        <v>341.08932834561955</v>
      </c>
      <c r="AC240" s="1">
        <f t="shared" si="177"/>
        <v>494299819.3910367</v>
      </c>
      <c r="AD240" s="36">
        <f t="shared" si="178"/>
        <v>137305.5053863991</v>
      </c>
      <c r="AE240" s="36">
        <f t="shared" si="186"/>
        <v>5721.062724433296</v>
      </c>
      <c r="AG240" s="1">
        <f t="shared" si="164"/>
        <v>810000000</v>
      </c>
      <c r="AH240" s="1">
        <f t="shared" si="179"/>
        <v>810000</v>
      </c>
      <c r="AI240" s="1">
        <f t="shared" si="180"/>
        <v>810810000</v>
      </c>
      <c r="AJ240" s="1">
        <f t="shared" si="181"/>
        <v>69800137438.24033</v>
      </c>
      <c r="AK240" s="1">
        <f t="shared" si="182"/>
        <v>69869937575.67857</v>
      </c>
      <c r="AL240" s="39">
        <f>+AJ240/('Volcano Summary'!C$8)*10^6</f>
        <v>4845.726427530837</v>
      </c>
      <c r="AM240" s="1">
        <f t="shared" si="165"/>
        <v>5721.062724433296</v>
      </c>
    </row>
    <row r="241" spans="1:39" ht="12.75" hidden="1">
      <c r="A241" s="1">
        <f t="shared" si="185"/>
        <v>1227921.5820442303</v>
      </c>
      <c r="B241" s="1">
        <f t="shared" si="187"/>
        <v>5735.096055091694</v>
      </c>
      <c r="C241" s="1">
        <f t="shared" si="157"/>
        <v>1920</v>
      </c>
      <c r="D241" s="12">
        <f t="shared" si="166"/>
        <v>49.443097858968265</v>
      </c>
      <c r="E241" s="38">
        <f t="shared" si="158"/>
        <v>522009204.86032575</v>
      </c>
      <c r="F241" s="38">
        <f t="shared" si="159"/>
        <v>335624791.67306155</v>
      </c>
      <c r="G241" s="38">
        <f t="shared" si="160"/>
        <v>149240378.48579738</v>
      </c>
      <c r="H241" s="18">
        <f t="shared" si="167"/>
        <v>0.0101126349612276</v>
      </c>
      <c r="I241" s="50">
        <f t="shared" si="155"/>
        <v>0.04020917835808217</v>
      </c>
      <c r="J241" s="3">
        <f t="shared" si="168"/>
        <v>42.162074282617795</v>
      </c>
      <c r="K241" s="12">
        <f t="shared" si="183"/>
        <v>0.9917021051218012</v>
      </c>
      <c r="L241" s="3">
        <f t="shared" si="169"/>
        <v>1566.9680107185673</v>
      </c>
      <c r="M241" s="12">
        <f t="shared" si="184"/>
        <v>0.7886213931348063</v>
      </c>
      <c r="N241" s="37">
        <f t="shared" si="170"/>
        <v>2715.97273766547</v>
      </c>
      <c r="O241" s="1">
        <f t="shared" si="161"/>
        <v>60502.06858531807</v>
      </c>
      <c r="P241">
        <f t="shared" si="171"/>
        <v>245.97168248665957</v>
      </c>
      <c r="Q241" s="1">
        <f t="shared" si="172"/>
        <v>668.0523838714745</v>
      </c>
      <c r="R241" s="1">
        <f>+Q241*1000/'Material Properties'!AE$35</f>
        <v>572912.647369303</v>
      </c>
      <c r="S241" s="1">
        <f t="shared" si="173"/>
        <v>298.39200383817865</v>
      </c>
      <c r="T241" s="1">
        <f t="shared" si="174"/>
        <v>13.002535830442866</v>
      </c>
      <c r="U241">
        <f t="shared" si="162"/>
        <v>0.0006170025457669869</v>
      </c>
      <c r="V241">
        <f>+'Material Properties'!AE$31+'Material Properties'!AE$33</f>
        <v>0.00029034311030761144</v>
      </c>
      <c r="W241">
        <f t="shared" si="175"/>
        <v>0.0009073456560745983</v>
      </c>
      <c r="X241" s="1">
        <f>+'Volcano Summary'!E$12*10^9/Q241/3600/24/365</f>
        <v>0</v>
      </c>
      <c r="Y241" s="3">
        <f t="shared" si="176"/>
        <v>20</v>
      </c>
      <c r="Z241" s="1">
        <f>+Y241*'Volcano Summary'!B$19*'Volcano Summary'!B$20/1000</f>
        <v>810000</v>
      </c>
      <c r="AA241" s="1">
        <f t="shared" si="163"/>
        <v>1212479.7688856607</v>
      </c>
      <c r="AB241" s="3">
        <f t="shared" si="188"/>
        <v>336.7999358015724</v>
      </c>
      <c r="AC241" s="1">
        <f t="shared" si="177"/>
        <v>495512299.15992236</v>
      </c>
      <c r="AD241" s="36">
        <f t="shared" si="178"/>
        <v>137642.30532220067</v>
      </c>
      <c r="AE241" s="36">
        <f t="shared" si="186"/>
        <v>5735.096055091694</v>
      </c>
      <c r="AG241" s="1">
        <f t="shared" si="164"/>
        <v>810000000.0000001</v>
      </c>
      <c r="AH241" s="1">
        <f t="shared" si="179"/>
        <v>810000</v>
      </c>
      <c r="AI241" s="1">
        <f t="shared" si="180"/>
        <v>810810000.0000001</v>
      </c>
      <c r="AJ241" s="1">
        <f t="shared" si="181"/>
        <v>70610137438.24033</v>
      </c>
      <c r="AK241" s="1">
        <f t="shared" si="182"/>
        <v>70680747575.67857</v>
      </c>
      <c r="AL241" s="39">
        <f>+AJ241/('Volcano Summary'!C$8)*10^6</f>
        <v>4901.9589587314085</v>
      </c>
      <c r="AM241" s="1">
        <f t="shared" si="165"/>
        <v>5735.096055091694</v>
      </c>
    </row>
    <row r="242" spans="1:39" ht="12.75" hidden="1">
      <c r="A242" s="1">
        <f t="shared" si="185"/>
        <v>1212479.7688856607</v>
      </c>
      <c r="B242" s="1">
        <f t="shared" si="187"/>
        <v>5748.954685842043</v>
      </c>
      <c r="C242" s="1">
        <f t="shared" si="157"/>
        <v>1940</v>
      </c>
      <c r="D242" s="12">
        <f t="shared" si="166"/>
        <v>49.699946848927475</v>
      </c>
      <c r="E242" s="38">
        <f t="shared" si="158"/>
        <v>524720959.23704845</v>
      </c>
      <c r="F242" s="38">
        <f t="shared" si="159"/>
        <v>337368308.81659466</v>
      </c>
      <c r="G242" s="38">
        <f t="shared" si="160"/>
        <v>150015658.3961409</v>
      </c>
      <c r="H242" s="18">
        <f t="shared" si="167"/>
        <v>0.010060372931984132</v>
      </c>
      <c r="I242" s="50">
        <f t="shared" si="155"/>
        <v>0.04016387878559668</v>
      </c>
      <c r="J242" s="3">
        <f t="shared" si="168"/>
        <v>41.90635989781085</v>
      </c>
      <c r="K242" s="12">
        <f t="shared" si="183"/>
        <v>0.989963247305114</v>
      </c>
      <c r="L242" s="3">
        <f t="shared" si="169"/>
        <v>1564.2204774019951</v>
      </c>
      <c r="M242" s="12">
        <f t="shared" si="184"/>
        <v>0.7879565357343082</v>
      </c>
      <c r="N242" s="37">
        <f t="shared" si="170"/>
        <v>2744.264120349486</v>
      </c>
      <c r="O242" s="1">
        <f t="shared" si="161"/>
        <v>60764.522663947304</v>
      </c>
      <c r="P242">
        <f t="shared" si="171"/>
        <v>246.5046098229145</v>
      </c>
      <c r="Q242" s="1">
        <f t="shared" si="172"/>
        <v>676.4737562377737</v>
      </c>
      <c r="R242" s="1">
        <f>+Q242*1000/'Material Properties'!AE$35</f>
        <v>580134.7018867932</v>
      </c>
      <c r="S242" s="1">
        <f t="shared" si="173"/>
        <v>299.038506127213</v>
      </c>
      <c r="T242" s="1">
        <f t="shared" si="174"/>
        <v>15.699694091960282</v>
      </c>
      <c r="U242">
        <f t="shared" si="162"/>
        <v>0.0005167504866342403</v>
      </c>
      <c r="V242">
        <f>+'Material Properties'!AE$31+'Material Properties'!AE$33</f>
        <v>0.00029034311030761144</v>
      </c>
      <c r="W242">
        <f t="shared" si="175"/>
        <v>0.0008070935969418518</v>
      </c>
      <c r="X242" s="1">
        <f>+'Volcano Summary'!E$12*10^9/Q242/3600/24/365</f>
        <v>0</v>
      </c>
      <c r="Y242" s="3">
        <f t="shared" si="176"/>
        <v>20</v>
      </c>
      <c r="Z242" s="1">
        <f>+Y242*'Volcano Summary'!B$19*'Volcano Summary'!B$20/1000</f>
        <v>810000</v>
      </c>
      <c r="AA242" s="1">
        <f t="shared" si="163"/>
        <v>1197385.696830038</v>
      </c>
      <c r="AB242" s="3">
        <f t="shared" si="188"/>
        <v>332.6071380083439</v>
      </c>
      <c r="AC242" s="1">
        <f t="shared" si="177"/>
        <v>496709684.8567524</v>
      </c>
      <c r="AD242" s="36">
        <f t="shared" si="178"/>
        <v>137974.91246020902</v>
      </c>
      <c r="AE242" s="36">
        <f t="shared" si="186"/>
        <v>5748.954685842043</v>
      </c>
      <c r="AG242" s="1">
        <f t="shared" si="164"/>
        <v>810000000</v>
      </c>
      <c r="AH242" s="1">
        <f t="shared" si="179"/>
        <v>810000</v>
      </c>
      <c r="AI242" s="1">
        <f t="shared" si="180"/>
        <v>810810000</v>
      </c>
      <c r="AJ242" s="1">
        <f t="shared" si="181"/>
        <v>71420137438.24033</v>
      </c>
      <c r="AK242" s="1">
        <f t="shared" si="182"/>
        <v>71491557575.67857</v>
      </c>
      <c r="AL242" s="39">
        <f>+AJ242/('Volcano Summary'!C$8)*10^6</f>
        <v>4958.191489931978</v>
      </c>
      <c r="AM242" s="1">
        <f t="shared" si="165"/>
        <v>5748.954685842043</v>
      </c>
    </row>
    <row r="243" spans="1:39" ht="12.75" hidden="1">
      <c r="A243" s="1">
        <f aca="true" t="shared" si="189" ref="A243:A306">+AA242</f>
        <v>1197385.696830038</v>
      </c>
      <c r="B243" s="1">
        <f aca="true" t="shared" si="190" ref="B243:B306">+AE243</f>
        <v>5762.418544753119</v>
      </c>
      <c r="C243" s="1">
        <f t="shared" si="157"/>
        <v>1960</v>
      </c>
      <c r="D243" s="12">
        <f t="shared" si="166"/>
        <v>49.955475252277594</v>
      </c>
      <c r="E243" s="38">
        <f t="shared" si="158"/>
        <v>527418771.1547504</v>
      </c>
      <c r="F243" s="38">
        <f t="shared" si="159"/>
        <v>339102861.6835199</v>
      </c>
      <c r="G243" s="38">
        <f t="shared" si="160"/>
        <v>150786952.21228933</v>
      </c>
      <c r="H243" s="18">
        <f t="shared" si="167"/>
        <v>0.010008912886424873</v>
      </c>
      <c r="I243" s="50">
        <v>0.03825</v>
      </c>
      <c r="J243" s="3">
        <f t="shared" si="168"/>
        <v>39.78409179057513</v>
      </c>
      <c r="K243" s="12">
        <f t="shared" si="183"/>
        <v>0.9755318241759111</v>
      </c>
      <c r="L243" s="3">
        <f t="shared" si="169"/>
        <v>1541.417683825362</v>
      </c>
      <c r="M243" s="12">
        <f t="shared" si="184"/>
        <v>0.7824386386554953</v>
      </c>
      <c r="N243" s="37">
        <f t="shared" si="170"/>
        <v>2772.5555030335013</v>
      </c>
      <c r="O243" s="1">
        <f t="shared" si="161"/>
        <v>63072.92197225903</v>
      </c>
      <c r="P243">
        <f t="shared" si="171"/>
        <v>251.1432299948757</v>
      </c>
      <c r="Q243" s="1">
        <f t="shared" si="172"/>
        <v>696.3085443719009</v>
      </c>
      <c r="R243" s="1">
        <f>+Q243*1000/'Material Properties'!AE$35</f>
        <v>597144.7466890857</v>
      </c>
      <c r="S243" s="1">
        <f t="shared" si="173"/>
        <v>304.66568708626824</v>
      </c>
      <c r="T243" s="1">
        <f t="shared" si="174"/>
        <v>37.71567890619872</v>
      </c>
      <c r="U243">
        <f t="shared" si="162"/>
        <v>0.00022213515968051635</v>
      </c>
      <c r="V243">
        <f>+'Material Properties'!AE$31+'Material Properties'!AE$33</f>
        <v>0.00029034311030761144</v>
      </c>
      <c r="W243">
        <f aca="true" t="shared" si="191" ref="W243:W306">+V243+U243</f>
        <v>0.0005124782699881278</v>
      </c>
      <c r="X243" s="1">
        <f>+'Volcano Summary'!E$12*10^9/Q243/3600/24/365</f>
        <v>0</v>
      </c>
      <c r="Y243" s="3">
        <f aca="true" t="shared" si="192" ref="Y243:Y306">+C244-C243</f>
        <v>20</v>
      </c>
      <c r="Z243" s="1">
        <f>+Y243*'Volcano Summary'!B$19*'Volcano Summary'!B$20/1000</f>
        <v>810000</v>
      </c>
      <c r="AA243" s="1">
        <f t="shared" si="163"/>
        <v>1163277.4099169692</v>
      </c>
      <c r="AB243" s="3">
        <f t="shared" si="188"/>
        <v>323.1326138658248</v>
      </c>
      <c r="AC243" s="1">
        <f aca="true" t="shared" si="193" ref="AC243:AC306">+AC242+AA243</f>
        <v>497872962.2666694</v>
      </c>
      <c r="AD243" s="36">
        <f aca="true" t="shared" si="194" ref="AD243:AD306">+AD242+AB243</f>
        <v>138298.04507407485</v>
      </c>
      <c r="AE243" s="36">
        <f t="shared" si="186"/>
        <v>5762.418544753119</v>
      </c>
      <c r="AG243" s="1">
        <f t="shared" si="164"/>
        <v>809999999.9999999</v>
      </c>
      <c r="AH243" s="1">
        <f aca="true" t="shared" si="195" ref="AH243:AH306">+Z243</f>
        <v>810000</v>
      </c>
      <c r="AI243" s="1">
        <f aca="true" t="shared" si="196" ref="AI243:AI306">+AH243+AG243</f>
        <v>810809999.9999999</v>
      </c>
      <c r="AJ243" s="1">
        <f aca="true" t="shared" si="197" ref="AJ243:AJ306">+AJ242+AG243</f>
        <v>72230137438.24033</v>
      </c>
      <c r="AK243" s="1">
        <f aca="true" t="shared" si="198" ref="AK243:AK306">+AK242+AI243</f>
        <v>72302367575.67857</v>
      </c>
      <c r="AL243" s="39">
        <f>+AJ243/('Volcano Summary'!C$8)*10^6</f>
        <v>5014.42402113255</v>
      </c>
      <c r="AM243" s="1">
        <f t="shared" si="165"/>
        <v>5762.418544753119</v>
      </c>
    </row>
    <row r="244" spans="1:39" ht="12.75" hidden="1">
      <c r="A244" s="1">
        <f t="shared" si="189"/>
        <v>1163277.4099169692</v>
      </c>
      <c r="B244" s="1">
        <f t="shared" si="190"/>
        <v>5775.717784403594</v>
      </c>
      <c r="C244" s="1">
        <f t="shared" si="157"/>
        <v>1980</v>
      </c>
      <c r="D244" s="12">
        <f t="shared" si="166"/>
        <v>50.20970323130403</v>
      </c>
      <c r="E244" s="38">
        <f t="shared" si="158"/>
        <v>530102853.48234606</v>
      </c>
      <c r="F244" s="38">
        <f t="shared" si="159"/>
        <v>340828587.137487</v>
      </c>
      <c r="G244" s="38">
        <f t="shared" si="160"/>
        <v>151554320.79262805</v>
      </c>
      <c r="H244" s="18">
        <f t="shared" si="167"/>
        <v>0.009958234520857855</v>
      </c>
      <c r="I244" s="50">
        <f>+I$243*LN(H$243)/LN(H244)</f>
        <v>0.03820787608374095</v>
      </c>
      <c r="J244" s="3">
        <f t="shared" si="168"/>
        <v>39.54829905857684</v>
      </c>
      <c r="K244" s="12">
        <f t="shared" si="183"/>
        <v>0.9739284335983227</v>
      </c>
      <c r="L244" s="3">
        <f t="shared" si="169"/>
        <v>1538.8841994949441</v>
      </c>
      <c r="M244" s="12">
        <f t="shared" si="184"/>
        <v>0.7818255775522998</v>
      </c>
      <c r="N244" s="37">
        <f t="shared" si="170"/>
        <v>2800.8468857175167</v>
      </c>
      <c r="O244" s="1">
        <f t="shared" si="161"/>
        <v>63344.68678886338</v>
      </c>
      <c r="P244">
        <f t="shared" si="171"/>
        <v>251.68370386034806</v>
      </c>
      <c r="Q244" s="1">
        <f t="shared" si="172"/>
        <v>704.9275181431055</v>
      </c>
      <c r="R244" s="1">
        <f>+Q244*1000/'Material Properties'!AE$35</f>
        <v>604536.2614865502</v>
      </c>
      <c r="S244" s="1">
        <f t="shared" si="173"/>
        <v>305.32134418512635</v>
      </c>
      <c r="T244" s="1">
        <f t="shared" si="174"/>
        <v>40.12112159162439</v>
      </c>
      <c r="U244">
        <f t="shared" si="162"/>
        <v>0.00020910934823760202</v>
      </c>
      <c r="V244">
        <f>+'Material Properties'!AE$31+'Material Properties'!AE$33</f>
        <v>0.00029034311030761144</v>
      </c>
      <c r="W244">
        <f t="shared" si="191"/>
        <v>0.0004994524585452135</v>
      </c>
      <c r="X244" s="1">
        <f>+'Volcano Summary'!E$12*10^9/Q244/3600/24/365</f>
        <v>0</v>
      </c>
      <c r="Y244" s="3">
        <f t="shared" si="192"/>
        <v>20</v>
      </c>
      <c r="Z244" s="1">
        <f>+Y244*'Volcano Summary'!B$19*'Volcano Summary'!B$20/1000</f>
        <v>810000</v>
      </c>
      <c r="AA244" s="1">
        <f t="shared" si="163"/>
        <v>1149054.3058010738</v>
      </c>
      <c r="AB244" s="3">
        <f t="shared" si="188"/>
        <v>319.18175161140937</v>
      </c>
      <c r="AC244" s="1">
        <f t="shared" si="193"/>
        <v>499022016.5724705</v>
      </c>
      <c r="AD244" s="36">
        <f t="shared" si="194"/>
        <v>138617.22682568626</v>
      </c>
      <c r="AE244" s="36">
        <f t="shared" si="186"/>
        <v>5775.717784403594</v>
      </c>
      <c r="AG244" s="1">
        <f t="shared" si="164"/>
        <v>810000000</v>
      </c>
      <c r="AH244" s="1">
        <f t="shared" si="195"/>
        <v>810000</v>
      </c>
      <c r="AI244" s="1">
        <f t="shared" si="196"/>
        <v>810810000</v>
      </c>
      <c r="AJ244" s="1">
        <f t="shared" si="197"/>
        <v>73040137438.24033</v>
      </c>
      <c r="AK244" s="1">
        <f t="shared" si="198"/>
        <v>73113177575.67857</v>
      </c>
      <c r="AL244" s="39">
        <f>+AJ244/('Volcano Summary'!C$8)*10^6</f>
        <v>5070.656552333121</v>
      </c>
      <c r="AM244" s="1">
        <f t="shared" si="165"/>
        <v>5775.717784403594</v>
      </c>
    </row>
    <row r="245" spans="1:39" ht="12.75" hidden="1">
      <c r="A245" s="1">
        <f t="shared" si="189"/>
        <v>1149054.3058010738</v>
      </c>
      <c r="B245" s="1">
        <f t="shared" si="190"/>
        <v>5801.994231976053</v>
      </c>
      <c r="C245" s="1">
        <f t="shared" si="157"/>
        <v>2000</v>
      </c>
      <c r="D245" s="12">
        <f t="shared" si="166"/>
        <v>50.4626504404032</v>
      </c>
      <c r="E245" s="38">
        <f t="shared" si="158"/>
        <v>532773413.7265712</v>
      </c>
      <c r="F245" s="38">
        <f t="shared" si="159"/>
        <v>342545618.5945439</v>
      </c>
      <c r="G245" s="38">
        <f t="shared" si="160"/>
        <v>152317823.46251667</v>
      </c>
      <c r="H245" s="18">
        <f t="shared" si="167"/>
        <v>0.009908318244015028</v>
      </c>
      <c r="I245" s="50">
        <f aca="true" t="shared" si="199" ref="I245:I270">+I$243*LN(H$243)/LN(H245)</f>
        <v>0.03816626681738581</v>
      </c>
      <c r="J245" s="3">
        <f t="shared" si="168"/>
        <v>39.31635178126491</v>
      </c>
      <c r="K245" s="12">
        <f t="shared" si="183"/>
        <v>0.9723511921126016</v>
      </c>
      <c r="L245" s="3">
        <f t="shared" si="169"/>
        <v>1536.392032804424</v>
      </c>
      <c r="M245" s="12">
        <f t="shared" si="184"/>
        <v>0.7812225146312888</v>
      </c>
      <c r="N245" s="37">
        <f t="shared" si="170"/>
        <v>2829.1382684015316</v>
      </c>
      <c r="O245" s="1">
        <f t="shared" si="161"/>
        <v>63615.19990777433</v>
      </c>
      <c r="P245">
        <f t="shared" si="171"/>
        <v>252.22053823543857</v>
      </c>
      <c r="Q245" s="1">
        <f t="shared" si="172"/>
        <v>713.566776798711</v>
      </c>
      <c r="R245" s="1">
        <f>+Q245*1000/'Material Properties'!AE$35</f>
        <v>611945.1723252597</v>
      </c>
      <c r="S245" s="1">
        <f t="shared" si="173"/>
        <v>305.97258616262985</v>
      </c>
      <c r="T245" s="1">
        <f t="shared" si="174"/>
        <v>42.479408154739076</v>
      </c>
      <c r="U245">
        <f t="shared" si="162"/>
        <v>0.00019774128705033725</v>
      </c>
      <c r="V245">
        <f>+'Material Properties'!AE$31+'Material Properties'!AE$33</f>
        <v>0.00029034311030761144</v>
      </c>
      <c r="W245">
        <f t="shared" si="191"/>
        <v>0.0004880843973579487</v>
      </c>
      <c r="X245" s="1">
        <f>+'Volcano Summary'!E$12*10^9/Q245/3600/24/365</f>
        <v>0</v>
      </c>
      <c r="Y245" s="3">
        <f t="shared" si="192"/>
        <v>40</v>
      </c>
      <c r="Z245" s="1">
        <f>+Y245*'Volcano Summary'!B$19*'Volcano Summary'!B$20/1000</f>
        <v>1620000</v>
      </c>
      <c r="AA245" s="1">
        <f t="shared" si="163"/>
        <v>2270285.070260472</v>
      </c>
      <c r="AB245" s="3">
        <f t="shared" si="188"/>
        <v>630.63474173902</v>
      </c>
      <c r="AC245" s="1">
        <f t="shared" si="193"/>
        <v>501292301.64273095</v>
      </c>
      <c r="AD245" s="36">
        <f t="shared" si="194"/>
        <v>139247.86156742528</v>
      </c>
      <c r="AE245" s="36">
        <f t="shared" si="186"/>
        <v>5801.994231976053</v>
      </c>
      <c r="AG245" s="1">
        <f t="shared" si="164"/>
        <v>1620000000.0000002</v>
      </c>
      <c r="AH245" s="1">
        <f t="shared" si="195"/>
        <v>1620000</v>
      </c>
      <c r="AI245" s="1">
        <f t="shared" si="196"/>
        <v>1621620000.0000002</v>
      </c>
      <c r="AJ245" s="1">
        <f t="shared" si="197"/>
        <v>74660137438.24033</v>
      </c>
      <c r="AK245" s="1">
        <f t="shared" si="198"/>
        <v>74734797575.67857</v>
      </c>
      <c r="AL245" s="39">
        <f>+AJ245/('Volcano Summary'!C$8)*10^6</f>
        <v>5183.121614734262</v>
      </c>
      <c r="AM245" s="1">
        <f t="shared" si="165"/>
        <v>5801.994231976053</v>
      </c>
    </row>
    <row r="246" spans="1:39" ht="12.75" hidden="1">
      <c r="A246" s="1">
        <f t="shared" si="189"/>
        <v>2270285.070260472</v>
      </c>
      <c r="B246" s="1">
        <f t="shared" si="190"/>
        <v>5827.647340586903</v>
      </c>
      <c r="C246" s="1">
        <f t="shared" si="157"/>
        <v>2040</v>
      </c>
      <c r="D246" s="12">
        <f t="shared" si="166"/>
        <v>50.964778732569144</v>
      </c>
      <c r="E246" s="38">
        <f t="shared" si="158"/>
        <v>538074772.2959529</v>
      </c>
      <c r="F246" s="38">
        <f t="shared" si="159"/>
        <v>345954116.660989</v>
      </c>
      <c r="G246" s="38">
        <f t="shared" si="160"/>
        <v>153833461.02602503</v>
      </c>
      <c r="H246" s="18">
        <f t="shared" si="167"/>
        <v>0.009810696964342435</v>
      </c>
      <c r="I246" s="50">
        <f t="shared" si="199"/>
        <v>0.038084546848388995</v>
      </c>
      <c r="J246" s="3">
        <f t="shared" si="168"/>
        <v>38.863594815384715</v>
      </c>
      <c r="K246" s="12">
        <f t="shared" si="183"/>
        <v>0.9692724447446163</v>
      </c>
      <c r="L246" s="3">
        <f t="shared" si="169"/>
        <v>1531.5273676859363</v>
      </c>
      <c r="M246" s="12">
        <f t="shared" si="184"/>
        <v>0.7800453465200002</v>
      </c>
      <c r="N246" s="37">
        <f t="shared" si="170"/>
        <v>2885.721033769563</v>
      </c>
      <c r="O246" s="1">
        <f t="shared" si="161"/>
        <v>64152.53973770013</v>
      </c>
      <c r="P246">
        <f t="shared" si="171"/>
        <v>253.28351651400476</v>
      </c>
      <c r="Q246" s="1">
        <f t="shared" si="172"/>
        <v>730.905571111584</v>
      </c>
      <c r="R246" s="1">
        <f>+Q246*1000/'Material Properties'!AE$35</f>
        <v>626814.6867403014</v>
      </c>
      <c r="S246" s="1">
        <f t="shared" si="173"/>
        <v>307.262101343285</v>
      </c>
      <c r="T246" s="1">
        <f t="shared" si="174"/>
        <v>47.06009181570198</v>
      </c>
      <c r="U246">
        <f t="shared" si="162"/>
        <v>0.00017885495367612333</v>
      </c>
      <c r="V246">
        <f>+'Material Properties'!AE$31+'Material Properties'!AE$33</f>
        <v>0.00029034311030761144</v>
      </c>
      <c r="W246">
        <f t="shared" si="191"/>
        <v>0.00046919806398373475</v>
      </c>
      <c r="X246" s="1">
        <f>+'Volcano Summary'!E$12*10^9/Q246/3600/24/365</f>
        <v>0</v>
      </c>
      <c r="Y246" s="3">
        <f t="shared" si="192"/>
        <v>40</v>
      </c>
      <c r="Z246" s="1">
        <f>+Y246*'Volcano Summary'!B$19*'Volcano Summary'!B$20/1000</f>
        <v>1620000</v>
      </c>
      <c r="AA246" s="1">
        <f t="shared" si="163"/>
        <v>2216428.583977344</v>
      </c>
      <c r="AB246" s="3">
        <f t="shared" si="188"/>
        <v>615.6746066603733</v>
      </c>
      <c r="AC246" s="1">
        <f t="shared" si="193"/>
        <v>503508730.2267083</v>
      </c>
      <c r="AD246" s="36">
        <f t="shared" si="194"/>
        <v>139863.53617408566</v>
      </c>
      <c r="AE246" s="36">
        <f t="shared" si="186"/>
        <v>5827.647340586903</v>
      </c>
      <c r="AG246" s="1">
        <f t="shared" si="164"/>
        <v>1620000000</v>
      </c>
      <c r="AH246" s="1">
        <f t="shared" si="195"/>
        <v>1620000</v>
      </c>
      <c r="AI246" s="1">
        <f t="shared" si="196"/>
        <v>1621620000</v>
      </c>
      <c r="AJ246" s="1">
        <f t="shared" si="197"/>
        <v>76280137438.24033</v>
      </c>
      <c r="AK246" s="1">
        <f t="shared" si="198"/>
        <v>76356417575.67857</v>
      </c>
      <c r="AL246" s="39">
        <f>+AJ246/('Volcano Summary'!C$8)*10^6</f>
        <v>5295.586677135404</v>
      </c>
      <c r="AM246" s="1">
        <f t="shared" si="165"/>
        <v>5827.647340586903</v>
      </c>
    </row>
    <row r="247" spans="1:39" ht="12.75" hidden="1">
      <c r="A247" s="1">
        <f t="shared" si="189"/>
        <v>2216428.583977344</v>
      </c>
      <c r="B247" s="1">
        <f t="shared" si="190"/>
        <v>5852.703339236922</v>
      </c>
      <c r="C247" s="1">
        <f t="shared" si="157"/>
        <v>2080</v>
      </c>
      <c r="D247" s="12">
        <f t="shared" si="166"/>
        <v>51.46200786064549</v>
      </c>
      <c r="E247" s="38">
        <f t="shared" si="158"/>
        <v>543324406.5830457</v>
      </c>
      <c r="F247" s="38">
        <f t="shared" si="159"/>
        <v>349329358.70185816</v>
      </c>
      <c r="G247" s="38">
        <f t="shared" si="160"/>
        <v>155334310.82067063</v>
      </c>
      <c r="H247" s="18">
        <f t="shared" si="167"/>
        <v>0.009715905398676927</v>
      </c>
      <c r="I247" s="50">
        <f t="shared" si="199"/>
        <v>0.03800475288679025</v>
      </c>
      <c r="J247" s="3">
        <f t="shared" si="168"/>
        <v>38.42505837481479</v>
      </c>
      <c r="K247" s="12">
        <f t="shared" si="183"/>
        <v>0.9662903969487407</v>
      </c>
      <c r="L247" s="3">
        <f t="shared" si="169"/>
        <v>1526.8154955638165</v>
      </c>
      <c r="M247" s="12">
        <f t="shared" si="184"/>
        <v>0.7789051517745185</v>
      </c>
      <c r="N247" s="37">
        <f t="shared" si="170"/>
        <v>2942.303799137593</v>
      </c>
      <c r="O247" s="1">
        <f t="shared" si="161"/>
        <v>64685.07486018745</v>
      </c>
      <c r="P247">
        <f t="shared" si="171"/>
        <v>254.33260675774048</v>
      </c>
      <c r="Q247" s="1">
        <f t="shared" si="172"/>
        <v>748.3237951078673</v>
      </c>
      <c r="R247" s="1">
        <f>+Q247*1000/'Material Properties'!AE$35</f>
        <v>641752.3189725997</v>
      </c>
      <c r="S247" s="1">
        <f t="shared" si="173"/>
        <v>308.5347687368268</v>
      </c>
      <c r="T247" s="1">
        <f t="shared" si="174"/>
        <v>51.468344287967966</v>
      </c>
      <c r="U247">
        <f t="shared" si="162"/>
        <v>0.0001637993355839367</v>
      </c>
      <c r="V247">
        <f>+'Material Properties'!AE$31+'Material Properties'!AE$33</f>
        <v>0.00029034311030761144</v>
      </c>
      <c r="W247">
        <f t="shared" si="191"/>
        <v>0.0004541424458915481</v>
      </c>
      <c r="X247" s="1">
        <f>+'Volcano Summary'!E$12*10^9/Q247/3600/24/365</f>
        <v>0</v>
      </c>
      <c r="Y247" s="3">
        <f t="shared" si="192"/>
        <v>40</v>
      </c>
      <c r="Z247" s="1">
        <f>+Y247*'Volcano Summary'!B$19*'Volcano Summary'!B$20/1000</f>
        <v>1620000</v>
      </c>
      <c r="AA247" s="1">
        <f t="shared" si="163"/>
        <v>2164838.283361662</v>
      </c>
      <c r="AB247" s="3">
        <f t="shared" si="188"/>
        <v>601.3439676004617</v>
      </c>
      <c r="AC247" s="1">
        <f t="shared" si="193"/>
        <v>505673568.51006997</v>
      </c>
      <c r="AD247" s="36">
        <f t="shared" si="194"/>
        <v>140464.88014168612</v>
      </c>
      <c r="AE247" s="36">
        <f t="shared" si="186"/>
        <v>5852.703339236922</v>
      </c>
      <c r="AG247" s="1">
        <f t="shared" si="164"/>
        <v>1619999999.9999998</v>
      </c>
      <c r="AH247" s="1">
        <f t="shared" si="195"/>
        <v>1620000</v>
      </c>
      <c r="AI247" s="1">
        <f t="shared" si="196"/>
        <v>1621619999.9999998</v>
      </c>
      <c r="AJ247" s="1">
        <f t="shared" si="197"/>
        <v>77900137438.24033</v>
      </c>
      <c r="AK247" s="1">
        <f t="shared" si="198"/>
        <v>77978037575.67857</v>
      </c>
      <c r="AL247" s="39">
        <f>+AJ247/('Volcano Summary'!C$8)*10^6</f>
        <v>5408.051739536545</v>
      </c>
      <c r="AM247" s="1">
        <f t="shared" si="165"/>
        <v>5852.703339236922</v>
      </c>
    </row>
    <row r="248" spans="1:39" ht="12.75" hidden="1">
      <c r="A248" s="1">
        <f t="shared" si="189"/>
        <v>2164838.283361662</v>
      </c>
      <c r="B248" s="1">
        <f t="shared" si="190"/>
        <v>5877.18688808075</v>
      </c>
      <c r="C248" s="1">
        <f t="shared" si="157"/>
        <v>2120</v>
      </c>
      <c r="D248" s="12">
        <f t="shared" si="166"/>
        <v>51.95447848683061</v>
      </c>
      <c r="E248" s="38">
        <f t="shared" si="158"/>
        <v>548523801.6679823</v>
      </c>
      <c r="F248" s="38">
        <f t="shared" si="159"/>
        <v>352672299.54650235</v>
      </c>
      <c r="G248" s="38">
        <f t="shared" si="160"/>
        <v>156820797.42502233</v>
      </c>
      <c r="H248" s="18">
        <f t="shared" si="167"/>
        <v>0.00962380943014835</v>
      </c>
      <c r="I248" s="50">
        <f t="shared" si="199"/>
        <v>0.03792680310877786</v>
      </c>
      <c r="J248" s="3">
        <f t="shared" si="168"/>
        <v>38.00003254136361</v>
      </c>
      <c r="K248" s="12">
        <f t="shared" si="183"/>
        <v>0.9634002212812728</v>
      </c>
      <c r="L248" s="3">
        <f t="shared" si="169"/>
        <v>1522.2487886939916</v>
      </c>
      <c r="M248" s="12">
        <f t="shared" si="184"/>
        <v>0.7778000846075455</v>
      </c>
      <c r="N248" s="37">
        <f t="shared" si="170"/>
        <v>2998.886564505623</v>
      </c>
      <c r="O248" s="1">
        <f t="shared" si="161"/>
        <v>65212.93260467182</v>
      </c>
      <c r="P248">
        <f t="shared" si="171"/>
        <v>255.36822943481403</v>
      </c>
      <c r="Q248" s="1">
        <f t="shared" si="172"/>
        <v>765.8203522536531</v>
      </c>
      <c r="R248" s="1">
        <f>+Q248*1000/'Material Properties'!AE$35</f>
        <v>656757.128649574</v>
      </c>
      <c r="S248" s="1">
        <f t="shared" si="173"/>
        <v>309.79109841961036</v>
      </c>
      <c r="T248" s="1">
        <f t="shared" si="174"/>
        <v>55.713968821050685</v>
      </c>
      <c r="U248">
        <f t="shared" si="162"/>
        <v>0.00015151560963891464</v>
      </c>
      <c r="V248">
        <f>+'Material Properties'!AE$31+'Material Properties'!AE$33</f>
        <v>0.00029034311030761144</v>
      </c>
      <c r="W248">
        <f t="shared" si="191"/>
        <v>0.00044185871994652606</v>
      </c>
      <c r="X248" s="1">
        <f>+'Volcano Summary'!E$12*10^9/Q248/3600/24/365</f>
        <v>0</v>
      </c>
      <c r="Y248" s="3">
        <f t="shared" si="192"/>
        <v>40</v>
      </c>
      <c r="Z248" s="1">
        <f>+Y248*'Volcano Summary'!B$19*'Volcano Summary'!B$20/1000</f>
        <v>1620000</v>
      </c>
      <c r="AA248" s="1">
        <f t="shared" si="163"/>
        <v>2115378.6201067525</v>
      </c>
      <c r="AB248" s="3">
        <f t="shared" si="188"/>
        <v>587.6051722518757</v>
      </c>
      <c r="AC248" s="1">
        <f t="shared" si="193"/>
        <v>507788947.1301767</v>
      </c>
      <c r="AD248" s="36">
        <f t="shared" si="194"/>
        <v>141052.485313938</v>
      </c>
      <c r="AE248" s="36">
        <f t="shared" si="186"/>
        <v>5877.18688808075</v>
      </c>
      <c r="AG248" s="1">
        <f t="shared" si="164"/>
        <v>1620000000</v>
      </c>
      <c r="AH248" s="1">
        <f t="shared" si="195"/>
        <v>1620000</v>
      </c>
      <c r="AI248" s="1">
        <f t="shared" si="196"/>
        <v>1621620000</v>
      </c>
      <c r="AJ248" s="1">
        <f t="shared" si="197"/>
        <v>79520137438.24033</v>
      </c>
      <c r="AK248" s="1">
        <f t="shared" si="198"/>
        <v>79599657575.67857</v>
      </c>
      <c r="AL248" s="39">
        <f>+AJ248/('Volcano Summary'!C$8)*10^6</f>
        <v>5520.516801937687</v>
      </c>
      <c r="AM248" s="1">
        <f t="shared" si="165"/>
        <v>5877.18688808075</v>
      </c>
    </row>
    <row r="249" spans="1:39" ht="12.75" hidden="1">
      <c r="A249" s="1">
        <f t="shared" si="189"/>
        <v>2115378.6201067525</v>
      </c>
      <c r="B249" s="1">
        <f t="shared" si="190"/>
        <v>5901.121199159804</v>
      </c>
      <c r="C249" s="1">
        <f t="shared" si="157"/>
        <v>2160</v>
      </c>
      <c r="D249" s="12">
        <f t="shared" si="166"/>
        <v>52.44232466841979</v>
      </c>
      <c r="E249" s="38">
        <f t="shared" si="158"/>
        <v>553674372.8978012</v>
      </c>
      <c r="F249" s="38">
        <f t="shared" si="159"/>
        <v>355983849.18951625</v>
      </c>
      <c r="G249" s="38">
        <f t="shared" si="160"/>
        <v>158293325.4812314</v>
      </c>
      <c r="H249" s="18">
        <f t="shared" si="167"/>
        <v>0.00953428367566426</v>
      </c>
      <c r="I249" s="50">
        <f t="shared" si="199"/>
        <v>0.037850620645691564</v>
      </c>
      <c r="J249" s="3">
        <f t="shared" si="168"/>
        <v>37.587855453597776</v>
      </c>
      <c r="K249" s="12">
        <f t="shared" si="183"/>
        <v>0.9605974170844651</v>
      </c>
      <c r="L249" s="3">
        <f t="shared" si="169"/>
        <v>1517.8201356801253</v>
      </c>
      <c r="M249" s="12">
        <f t="shared" si="184"/>
        <v>0.7767284241793543</v>
      </c>
      <c r="N249" s="37">
        <f t="shared" si="170"/>
        <v>3055.469329873654</v>
      </c>
      <c r="O249" s="1">
        <f t="shared" si="161"/>
        <v>65736.23461642647</v>
      </c>
      <c r="P249">
        <f t="shared" si="171"/>
        <v>256.39078496784254</v>
      </c>
      <c r="Q249" s="1">
        <f t="shared" si="172"/>
        <v>783.3941799314739</v>
      </c>
      <c r="R249" s="1">
        <f>+Q249*1000/'Material Properties'!AE$35</f>
        <v>671828.2044849223</v>
      </c>
      <c r="S249" s="1">
        <f t="shared" si="173"/>
        <v>311.031576150427</v>
      </c>
      <c r="T249" s="1">
        <f t="shared" si="174"/>
        <v>59.80603374700445</v>
      </c>
      <c r="U249">
        <f t="shared" si="162"/>
        <v>0.00014130226388613763</v>
      </c>
      <c r="V249">
        <f>+'Material Properties'!AE$31+'Material Properties'!AE$33</f>
        <v>0.00029034311030761144</v>
      </c>
      <c r="W249">
        <f t="shared" si="191"/>
        <v>0.00043164537419374904</v>
      </c>
      <c r="X249" s="1">
        <f>+'Volcano Summary'!E$12*10^9/Q249/3600/24/365</f>
        <v>0</v>
      </c>
      <c r="Y249" s="3">
        <f t="shared" si="192"/>
        <v>40</v>
      </c>
      <c r="Z249" s="1">
        <f>+Y249*'Volcano Summary'!B$19*'Volcano Summary'!B$20/1000</f>
        <v>1620000</v>
      </c>
      <c r="AA249" s="1">
        <f t="shared" si="163"/>
        <v>2067924.4772302327</v>
      </c>
      <c r="AB249" s="3">
        <f t="shared" si="188"/>
        <v>574.4234658972869</v>
      </c>
      <c r="AC249" s="1">
        <f t="shared" si="193"/>
        <v>509856871.607407</v>
      </c>
      <c r="AD249" s="36">
        <f t="shared" si="194"/>
        <v>141626.9087798353</v>
      </c>
      <c r="AE249" s="36">
        <f t="shared" si="186"/>
        <v>5901.121199159804</v>
      </c>
      <c r="AG249" s="1">
        <f t="shared" si="164"/>
        <v>1620000000</v>
      </c>
      <c r="AH249" s="1">
        <f t="shared" si="195"/>
        <v>1620000</v>
      </c>
      <c r="AI249" s="1">
        <f t="shared" si="196"/>
        <v>1621620000</v>
      </c>
      <c r="AJ249" s="1">
        <f t="shared" si="197"/>
        <v>81140137438.24033</v>
      </c>
      <c r="AK249" s="1">
        <f t="shared" si="198"/>
        <v>81221277575.67857</v>
      </c>
      <c r="AL249" s="39">
        <f>+AJ249/('Volcano Summary'!C$8)*10^6</f>
        <v>5632.981864338828</v>
      </c>
      <c r="AM249" s="1">
        <f t="shared" si="165"/>
        <v>5901.121199159804</v>
      </c>
    </row>
    <row r="250" spans="1:39" ht="12.75" hidden="1">
      <c r="A250" s="1">
        <f t="shared" si="189"/>
        <v>2067924.4772302327</v>
      </c>
      <c r="B250" s="1">
        <f t="shared" si="190"/>
        <v>5924.528145843957</v>
      </c>
      <c r="C250" s="1">
        <f t="shared" si="157"/>
        <v>2200</v>
      </c>
      <c r="D250" s="12">
        <f t="shared" si="166"/>
        <v>52.925674284012274</v>
      </c>
      <c r="E250" s="38">
        <f t="shared" si="158"/>
        <v>558777470.3862448</v>
      </c>
      <c r="F250" s="38">
        <f t="shared" si="159"/>
        <v>359264875.6838756</v>
      </c>
      <c r="G250" s="38">
        <f t="shared" si="160"/>
        <v>159752280.9815066</v>
      </c>
      <c r="H250" s="18">
        <f t="shared" si="167"/>
        <v>0.009447210768007908</v>
      </c>
      <c r="I250" s="50">
        <f t="shared" si="199"/>
        <v>0.03777613319793739</v>
      </c>
      <c r="J250" s="3">
        <f t="shared" si="168"/>
        <v>37.18790923212551</v>
      </c>
      <c r="K250" s="12">
        <f t="shared" si="183"/>
        <v>0.9578777827784537</v>
      </c>
      <c r="L250" s="3">
        <f t="shared" si="169"/>
        <v>1513.522897692666</v>
      </c>
      <c r="M250" s="12">
        <f t="shared" si="184"/>
        <v>0.7756885640035264</v>
      </c>
      <c r="N250" s="37">
        <f t="shared" si="170"/>
        <v>3112.0520952416855</v>
      </c>
      <c r="O250" s="1">
        <f t="shared" si="161"/>
        <v>66255.09721012038</v>
      </c>
      <c r="P250">
        <f t="shared" si="171"/>
        <v>257.40065503048044</v>
      </c>
      <c r="Q250" s="1">
        <f t="shared" si="172"/>
        <v>801.044247804189</v>
      </c>
      <c r="R250" s="1">
        <f>+Q250*1000/'Material Properties'!AE$35</f>
        <v>686964.6628755124</v>
      </c>
      <c r="S250" s="1">
        <f t="shared" si="173"/>
        <v>312.2566649434147</v>
      </c>
      <c r="T250" s="1">
        <f t="shared" si="174"/>
        <v>63.75294026639472</v>
      </c>
      <c r="U250">
        <f t="shared" si="162"/>
        <v>0.0001326761004937407</v>
      </c>
      <c r="V250">
        <f>+'Material Properties'!AE$31+'Material Properties'!AE$33</f>
        <v>0.00029034311030761144</v>
      </c>
      <c r="W250">
        <f t="shared" si="191"/>
        <v>0.00042301921080135213</v>
      </c>
      <c r="X250" s="1">
        <f>+'Volcano Summary'!E$12*10^9/Q250/3600/24/365</f>
        <v>0</v>
      </c>
      <c r="Y250" s="3">
        <f t="shared" si="192"/>
        <v>40</v>
      </c>
      <c r="Z250" s="1">
        <f>+Y250*'Volcano Summary'!B$19*'Volcano Summary'!B$20/1000</f>
        <v>1620000</v>
      </c>
      <c r="AA250" s="1">
        <f t="shared" si="163"/>
        <v>2022360.1935108087</v>
      </c>
      <c r="AB250" s="3">
        <f t="shared" si="188"/>
        <v>561.7667204196691</v>
      </c>
      <c r="AC250" s="1">
        <f t="shared" si="193"/>
        <v>511879231.8009178</v>
      </c>
      <c r="AD250" s="36">
        <f t="shared" si="194"/>
        <v>142188.67550025496</v>
      </c>
      <c r="AE250" s="36">
        <f t="shared" si="186"/>
        <v>5924.528145843957</v>
      </c>
      <c r="AG250" s="1">
        <f t="shared" si="164"/>
        <v>1620000000</v>
      </c>
      <c r="AH250" s="1">
        <f t="shared" si="195"/>
        <v>1620000</v>
      </c>
      <c r="AI250" s="1">
        <f t="shared" si="196"/>
        <v>1621620000</v>
      </c>
      <c r="AJ250" s="1">
        <f t="shared" si="197"/>
        <v>82760137438.24033</v>
      </c>
      <c r="AK250" s="1">
        <f t="shared" si="198"/>
        <v>82842897575.67857</v>
      </c>
      <c r="AL250" s="39">
        <f>+AJ250/('Volcano Summary'!C$8)*10^6</f>
        <v>5745.44692673997</v>
      </c>
      <c r="AM250" s="1">
        <f t="shared" si="165"/>
        <v>5924.528145843957</v>
      </c>
    </row>
    <row r="251" spans="1:39" ht="12.75" hidden="1">
      <c r="A251" s="1">
        <f t="shared" si="189"/>
        <v>2022360.1935108087</v>
      </c>
      <c r="B251" s="1">
        <f t="shared" si="190"/>
        <v>5947.428362218714</v>
      </c>
      <c r="C251" s="1">
        <f t="shared" si="157"/>
        <v>2240</v>
      </c>
      <c r="D251" s="12">
        <f t="shared" si="166"/>
        <v>53.404649424996364</v>
      </c>
      <c r="E251" s="38">
        <f t="shared" si="158"/>
        <v>563834383.1469734</v>
      </c>
      <c r="F251" s="38">
        <f t="shared" si="159"/>
        <v>362516207.7983783</v>
      </c>
      <c r="G251" s="38">
        <f t="shared" si="160"/>
        <v>161198032.44978333</v>
      </c>
      <c r="H251" s="18">
        <f t="shared" si="167"/>
        <v>0.00936248070876713</v>
      </c>
      <c r="I251" s="50">
        <f t="shared" si="199"/>
        <v>0.037703272685432825</v>
      </c>
      <c r="J251" s="3">
        <f t="shared" si="168"/>
        <v>36.79961631747514</v>
      </c>
      <c r="K251" s="12">
        <f t="shared" si="183"/>
        <v>0.9552373909588312</v>
      </c>
      <c r="L251" s="3">
        <f t="shared" si="169"/>
        <v>1509.3508691210384</v>
      </c>
      <c r="M251" s="12">
        <f t="shared" si="184"/>
        <v>0.7746790024254354</v>
      </c>
      <c r="N251" s="37">
        <f t="shared" si="170"/>
        <v>3168.634860609716</v>
      </c>
      <c r="O251" s="1">
        <f t="shared" si="161"/>
        <v>66769.63169539433</v>
      </c>
      <c r="P251">
        <f t="shared" si="171"/>
        <v>258.39820373871476</v>
      </c>
      <c r="Q251" s="1">
        <f t="shared" si="172"/>
        <v>818.7695562854234</v>
      </c>
      <c r="R251" s="1">
        <f>+Q251*1000/'Material Properties'!AE$35</f>
        <v>702165.6465896507</v>
      </c>
      <c r="S251" s="1">
        <f t="shared" si="173"/>
        <v>313.4668065132369</v>
      </c>
      <c r="T251" s="1">
        <f t="shared" si="174"/>
        <v>67.56248286041341</v>
      </c>
      <c r="U251">
        <f t="shared" si="162"/>
        <v>0.0001252934401676504</v>
      </c>
      <c r="V251">
        <f>+'Material Properties'!AE$31+'Material Properties'!AE$33</f>
        <v>0.00029034311030761144</v>
      </c>
      <c r="W251">
        <f t="shared" si="191"/>
        <v>0.0004156365504752619</v>
      </c>
      <c r="X251" s="1">
        <f>+'Volcano Summary'!E$12*10^9/Q251/3600/24/365</f>
        <v>0</v>
      </c>
      <c r="Y251" s="3">
        <f t="shared" si="192"/>
        <v>40</v>
      </c>
      <c r="Z251" s="1">
        <f>+Y251*'Volcano Summary'!B$19*'Volcano Summary'!B$20/1000</f>
        <v>1620000</v>
      </c>
      <c r="AA251" s="1">
        <f t="shared" si="163"/>
        <v>1978578.6947790075</v>
      </c>
      <c r="AB251" s="3">
        <f t="shared" si="188"/>
        <v>549.6051929941688</v>
      </c>
      <c r="AC251" s="1">
        <f t="shared" si="193"/>
        <v>513857810.4956968</v>
      </c>
      <c r="AD251" s="36">
        <f t="shared" si="194"/>
        <v>142738.28069324914</v>
      </c>
      <c r="AE251" s="36">
        <f t="shared" si="186"/>
        <v>5947.428362218714</v>
      </c>
      <c r="AG251" s="1">
        <f t="shared" si="164"/>
        <v>1620000000</v>
      </c>
      <c r="AH251" s="1">
        <f t="shared" si="195"/>
        <v>1620000</v>
      </c>
      <c r="AI251" s="1">
        <f t="shared" si="196"/>
        <v>1621620000</v>
      </c>
      <c r="AJ251" s="1">
        <f t="shared" si="197"/>
        <v>84380137438.24033</v>
      </c>
      <c r="AK251" s="1">
        <f t="shared" si="198"/>
        <v>84464517575.67857</v>
      </c>
      <c r="AL251" s="39">
        <f>+AJ251/('Volcano Summary'!C$8)*10^6</f>
        <v>5857.911989141111</v>
      </c>
      <c r="AM251" s="1">
        <f t="shared" si="165"/>
        <v>5947.428362218714</v>
      </c>
    </row>
    <row r="252" spans="1:39" ht="12.75" hidden="1">
      <c r="A252" s="1">
        <f t="shared" si="189"/>
        <v>1978578.6947790075</v>
      </c>
      <c r="B252" s="1">
        <f t="shared" si="190"/>
        <v>5969.84133350002</v>
      </c>
      <c r="C252" s="1">
        <f t="shared" si="157"/>
        <v>2280</v>
      </c>
      <c r="D252" s="12">
        <f t="shared" si="166"/>
        <v>53.87936675570873</v>
      </c>
      <c r="E252" s="38">
        <f t="shared" si="158"/>
        <v>568846342.8960453</v>
      </c>
      <c r="F252" s="38">
        <f t="shared" si="159"/>
        <v>365738637.4624417</v>
      </c>
      <c r="G252" s="38">
        <f t="shared" si="160"/>
        <v>162630932.02883813</v>
      </c>
      <c r="H252" s="18">
        <f t="shared" si="167"/>
        <v>0.00927999028398052</v>
      </c>
      <c r="I252" s="50">
        <f t="shared" si="199"/>
        <v>0.037631974930538215</v>
      </c>
      <c r="J252" s="3">
        <f t="shared" si="168"/>
        <v>36.42243617223931</v>
      </c>
      <c r="K252" s="12">
        <f t="shared" si="183"/>
        <v>0.9526725659712274</v>
      </c>
      <c r="L252" s="3">
        <f t="shared" si="169"/>
        <v>1505.2982421396998</v>
      </c>
      <c r="M252" s="12">
        <f t="shared" si="184"/>
        <v>0.7736983340478222</v>
      </c>
      <c r="N252" s="37">
        <f t="shared" si="170"/>
        <v>3225.2176259777466</v>
      </c>
      <c r="O252" s="1">
        <f t="shared" si="161"/>
        <v>67279.94467712719</v>
      </c>
      <c r="P252">
        <f t="shared" si="171"/>
        <v>259.3837787471051</v>
      </c>
      <c r="Q252" s="1">
        <f t="shared" si="172"/>
        <v>836.5691351078755</v>
      </c>
      <c r="R252" s="1">
        <f>+Q252*1000/'Material Properties'!AE$35</f>
        <v>717430.3235392827</v>
      </c>
      <c r="S252" s="1">
        <f t="shared" si="173"/>
        <v>314.6624226049485</v>
      </c>
      <c r="T252" s="1">
        <f t="shared" si="174"/>
        <v>71.24190324849405</v>
      </c>
      <c r="U252">
        <f t="shared" si="162"/>
        <v>0.00011890315633139413</v>
      </c>
      <c r="V252">
        <f>+'Material Properties'!AE$31+'Material Properties'!AE$33</f>
        <v>0.00029034311030761144</v>
      </c>
      <c r="W252">
        <f t="shared" si="191"/>
        <v>0.00040924626663900557</v>
      </c>
      <c r="X252" s="1">
        <f>+'Volcano Summary'!E$12*10^9/Q252/3600/24/365</f>
        <v>0</v>
      </c>
      <c r="Y252" s="3">
        <f t="shared" si="192"/>
        <v>40</v>
      </c>
      <c r="Z252" s="1">
        <f>+Y252*'Volcano Summary'!B$19*'Volcano Summary'!B$20/1000</f>
        <v>1620000</v>
      </c>
      <c r="AA252" s="1">
        <f t="shared" si="163"/>
        <v>1936480.7187048579</v>
      </c>
      <c r="AB252" s="3">
        <f t="shared" si="188"/>
        <v>537.9113107513494</v>
      </c>
      <c r="AC252" s="1">
        <f t="shared" si="193"/>
        <v>515794291.21440166</v>
      </c>
      <c r="AD252" s="36">
        <f t="shared" si="194"/>
        <v>143276.19200400048</v>
      </c>
      <c r="AE252" s="36">
        <f t="shared" si="186"/>
        <v>5969.84133350002</v>
      </c>
      <c r="AG252" s="1">
        <f t="shared" si="164"/>
        <v>1620000000</v>
      </c>
      <c r="AH252" s="1">
        <f t="shared" si="195"/>
        <v>1620000</v>
      </c>
      <c r="AI252" s="1">
        <f t="shared" si="196"/>
        <v>1621620000</v>
      </c>
      <c r="AJ252" s="1">
        <f t="shared" si="197"/>
        <v>86000137438.24033</v>
      </c>
      <c r="AK252" s="1">
        <f t="shared" si="198"/>
        <v>86086137575.67857</v>
      </c>
      <c r="AL252" s="39">
        <f>+AJ252/('Volcano Summary'!C$8)*10^6</f>
        <v>5970.377051542253</v>
      </c>
      <c r="AM252" s="1">
        <f t="shared" si="165"/>
        <v>5969.84133350002</v>
      </c>
    </row>
    <row r="253" spans="1:39" ht="12.75" hidden="1">
      <c r="A253" s="1">
        <f t="shared" si="189"/>
        <v>1936480.7187048579</v>
      </c>
      <c r="B253" s="1">
        <f t="shared" si="190"/>
        <v>5991.785478425888</v>
      </c>
      <c r="C253" s="1">
        <f t="shared" si="157"/>
        <v>2320</v>
      </c>
      <c r="D253" s="12">
        <f t="shared" si="166"/>
        <v>54.34993784527796</v>
      </c>
      <c r="E253" s="38">
        <f t="shared" si="158"/>
        <v>573814527.5554483</v>
      </c>
      <c r="F253" s="38">
        <f t="shared" si="159"/>
        <v>368932922.0186913</v>
      </c>
      <c r="G253" s="38">
        <f t="shared" si="160"/>
        <v>164051316.4819342</v>
      </c>
      <c r="H253" s="18">
        <f t="shared" si="167"/>
        <v>0.009199642535441116</v>
      </c>
      <c r="I253" s="50">
        <f t="shared" si="199"/>
        <v>0.03756217936994069</v>
      </c>
      <c r="J253" s="3">
        <f t="shared" si="168"/>
        <v>36.05586230555752</v>
      </c>
      <c r="K253" s="12">
        <f t="shared" si="183"/>
        <v>0.9501798636777913</v>
      </c>
      <c r="L253" s="3">
        <f t="shared" si="169"/>
        <v>1501.3595747375778</v>
      </c>
      <c r="M253" s="12">
        <f t="shared" si="184"/>
        <v>0.7727452419944496</v>
      </c>
      <c r="N253" s="37">
        <f t="shared" si="170"/>
        <v>3281.8003913457765</v>
      </c>
      <c r="O253" s="1">
        <f t="shared" si="161"/>
        <v>67786.13833276722</v>
      </c>
      <c r="P253">
        <f t="shared" si="171"/>
        <v>260.3577122590518</v>
      </c>
      <c r="Q253" s="1">
        <f t="shared" si="172"/>
        <v>854.4420419816473</v>
      </c>
      <c r="R253" s="1">
        <f>+Q253*1000/'Material Properties'!AE$35</f>
        <v>732757.8856293951</v>
      </c>
      <c r="S253" s="1">
        <f t="shared" si="173"/>
        <v>315.8439162195669</v>
      </c>
      <c r="T253" s="1">
        <f t="shared" si="174"/>
        <v>74.79793868207935</v>
      </c>
      <c r="U253">
        <f t="shared" si="162"/>
        <v>0.00011331748458866188</v>
      </c>
      <c r="V253">
        <f>+'Material Properties'!AE$31+'Material Properties'!AE$33</f>
        <v>0.00029034311030761144</v>
      </c>
      <c r="W253">
        <f t="shared" si="191"/>
        <v>0.0004036605948962733</v>
      </c>
      <c r="X253" s="1">
        <f>+'Volcano Summary'!E$12*10^9/Q253/3600/24/365</f>
        <v>0</v>
      </c>
      <c r="Y253" s="3">
        <f t="shared" si="192"/>
        <v>40</v>
      </c>
      <c r="Z253" s="1">
        <f>+Y253*'Volcano Summary'!B$19*'Volcano Summary'!B$20/1000</f>
        <v>1620000</v>
      </c>
      <c r="AA253" s="1">
        <f t="shared" si="163"/>
        <v>1895974.1215950095</v>
      </c>
      <c r="AB253" s="3">
        <f t="shared" si="188"/>
        <v>526.6594782208359</v>
      </c>
      <c r="AC253" s="1">
        <f t="shared" si="193"/>
        <v>517690265.3359967</v>
      </c>
      <c r="AD253" s="36">
        <f t="shared" si="194"/>
        <v>143802.8514822213</v>
      </c>
      <c r="AE253" s="36">
        <f t="shared" si="186"/>
        <v>5991.785478425888</v>
      </c>
      <c r="AG253" s="1">
        <f t="shared" si="164"/>
        <v>1620000000</v>
      </c>
      <c r="AH253" s="1">
        <f t="shared" si="195"/>
        <v>1620000</v>
      </c>
      <c r="AI253" s="1">
        <f t="shared" si="196"/>
        <v>1621620000</v>
      </c>
      <c r="AJ253" s="1">
        <f t="shared" si="197"/>
        <v>87620137438.24033</v>
      </c>
      <c r="AK253" s="1">
        <f t="shared" si="198"/>
        <v>87707757575.67857</v>
      </c>
      <c r="AL253" s="39">
        <f>+AJ253/('Volcano Summary'!C$8)*10^6</f>
        <v>6082.842113943394</v>
      </c>
      <c r="AM253" s="1">
        <f t="shared" si="165"/>
        <v>5991.785478425888</v>
      </c>
    </row>
    <row r="254" spans="1:39" ht="12.75" hidden="1">
      <c r="A254" s="1">
        <f t="shared" si="189"/>
        <v>1895974.1215950095</v>
      </c>
      <c r="B254" s="1">
        <f t="shared" si="190"/>
        <v>6013.278224459365</v>
      </c>
      <c r="C254" s="1">
        <f t="shared" si="157"/>
        <v>2360</v>
      </c>
      <c r="D254" s="12">
        <f t="shared" si="166"/>
        <v>54.816469473826785</v>
      </c>
      <c r="E254" s="38">
        <f t="shared" si="158"/>
        <v>578740064.4859139</v>
      </c>
      <c r="F254" s="38">
        <f t="shared" si="159"/>
        <v>372099786.30149215</v>
      </c>
      <c r="G254" s="38">
        <f t="shared" si="160"/>
        <v>165459508.11707044</v>
      </c>
      <c r="H254" s="18">
        <f t="shared" si="167"/>
        <v>0.00912134628149912</v>
      </c>
      <c r="I254" s="50">
        <f t="shared" si="199"/>
        <v>0.037493828792395094</v>
      </c>
      <c r="J254" s="3">
        <f t="shared" si="168"/>
        <v>35.699419583467765</v>
      </c>
      <c r="K254" s="12">
        <f t="shared" si="183"/>
        <v>0.947756053167581</v>
      </c>
      <c r="L254" s="3">
        <f t="shared" si="169"/>
        <v>1497.5297618190336</v>
      </c>
      <c r="M254" s="12">
        <f t="shared" si="184"/>
        <v>0.7718184909170163</v>
      </c>
      <c r="N254" s="37">
        <f t="shared" si="170"/>
        <v>3338.3831567138072</v>
      </c>
      <c r="O254" s="1">
        <f t="shared" si="161"/>
        <v>68288.31066884336</v>
      </c>
      <c r="P254">
        <f t="shared" si="171"/>
        <v>261.32032195916827</v>
      </c>
      <c r="Q254" s="1">
        <f t="shared" si="172"/>
        <v>872.3873613355165</v>
      </c>
      <c r="R254" s="1">
        <f>+Q254*1000/'Material Properties'!AE$35</f>
        <v>748147.5476785478</v>
      </c>
      <c r="S254" s="1">
        <f t="shared" si="173"/>
        <v>317.0116727451474</v>
      </c>
      <c r="T254" s="1">
        <f t="shared" si="174"/>
        <v>78.2368652564387</v>
      </c>
      <c r="U254">
        <f t="shared" si="162"/>
        <v>0.00010839322447513912</v>
      </c>
      <c r="V254">
        <f>+'Material Properties'!AE$31+'Material Properties'!AE$33</f>
        <v>0.00029034311030761144</v>
      </c>
      <c r="W254">
        <f t="shared" si="191"/>
        <v>0.0003987363347827506</v>
      </c>
      <c r="X254" s="1">
        <f>+'Volcano Summary'!E$12*10^9/Q254/3600/24/365</f>
        <v>0</v>
      </c>
      <c r="Y254" s="3">
        <f t="shared" si="192"/>
        <v>40</v>
      </c>
      <c r="Z254" s="1">
        <f>+Y254*'Volcano Summary'!B$19*'Volcano Summary'!B$20/1000</f>
        <v>1620000</v>
      </c>
      <c r="AA254" s="1">
        <f t="shared" si="163"/>
        <v>1856973.2572924732</v>
      </c>
      <c r="AB254" s="3">
        <f t="shared" si="188"/>
        <v>515.8259048034648</v>
      </c>
      <c r="AC254" s="1">
        <f t="shared" si="193"/>
        <v>519547238.59328914</v>
      </c>
      <c r="AD254" s="36">
        <f t="shared" si="194"/>
        <v>144318.67738702477</v>
      </c>
      <c r="AE254" s="36">
        <f t="shared" si="186"/>
        <v>6013.278224459365</v>
      </c>
      <c r="AG254" s="1">
        <f t="shared" si="164"/>
        <v>1620000000</v>
      </c>
      <c r="AH254" s="1">
        <f t="shared" si="195"/>
        <v>1620000</v>
      </c>
      <c r="AI254" s="1">
        <f t="shared" si="196"/>
        <v>1621620000</v>
      </c>
      <c r="AJ254" s="1">
        <f t="shared" si="197"/>
        <v>89240137438.24033</v>
      </c>
      <c r="AK254" s="1">
        <f t="shared" si="198"/>
        <v>89329377575.67857</v>
      </c>
      <c r="AL254" s="39">
        <f>+AJ254/('Volcano Summary'!C$8)*10^6</f>
        <v>6195.307176344536</v>
      </c>
      <c r="AM254" s="1">
        <f t="shared" si="165"/>
        <v>6013.278224459365</v>
      </c>
    </row>
    <row r="255" spans="1:39" ht="12.75" hidden="1">
      <c r="A255" s="1">
        <f t="shared" si="189"/>
        <v>1856973.2572924732</v>
      </c>
      <c r="B255" s="1">
        <f t="shared" si="190"/>
        <v>6034.336076538218</v>
      </c>
      <c r="C255" s="1">
        <f t="shared" si="157"/>
        <v>2400</v>
      </c>
      <c r="D255" s="12">
        <f t="shared" si="166"/>
        <v>55.27906391541368</v>
      </c>
      <c r="E255" s="38">
        <f t="shared" si="158"/>
        <v>583624033.474151</v>
      </c>
      <c r="F255" s="38">
        <f t="shared" si="159"/>
        <v>375239924.55758554</v>
      </c>
      <c r="G255" s="38">
        <f t="shared" si="160"/>
        <v>166855815.64102006</v>
      </c>
      <c r="H255" s="18">
        <f t="shared" si="167"/>
        <v>0.009045015681978345</v>
      </c>
      <c r="I255" s="50">
        <f t="shared" si="199"/>
        <v>0.03742686909960423</v>
      </c>
      <c r="J255" s="3">
        <f t="shared" si="168"/>
        <v>35.3526617933271</v>
      </c>
      <c r="K255" s="12">
        <f t="shared" si="183"/>
        <v>0.9453981001946244</v>
      </c>
      <c r="L255" s="3">
        <f t="shared" si="169"/>
        <v>1493.8040090346851</v>
      </c>
      <c r="M255" s="12">
        <f t="shared" si="184"/>
        <v>0.7709169206626505</v>
      </c>
      <c r="N255" s="37">
        <f t="shared" si="170"/>
        <v>3394.9659220818385</v>
      </c>
      <c r="O255" s="1">
        <f t="shared" si="161"/>
        <v>68786.55575854404</v>
      </c>
      <c r="P255">
        <f t="shared" si="171"/>
        <v>262.27191187495475</v>
      </c>
      <c r="Q255" s="1">
        <f t="shared" si="172"/>
        <v>890.4042031347225</v>
      </c>
      <c r="R255" s="1">
        <f>+Q255*1000/'Material Properties'!AE$35</f>
        <v>763598.5464050231</v>
      </c>
      <c r="S255" s="1">
        <f t="shared" si="173"/>
        <v>318.16606100209293</v>
      </c>
      <c r="T255" s="1">
        <f t="shared" si="174"/>
        <v>81.56453683018026</v>
      </c>
      <c r="U255">
        <f t="shared" si="162"/>
        <v>0.00010401925881987941</v>
      </c>
      <c r="V255">
        <f>+'Material Properties'!AE$31+'Material Properties'!AE$33</f>
        <v>0.00029034311030761144</v>
      </c>
      <c r="W255">
        <f t="shared" si="191"/>
        <v>0.0003943623691274908</v>
      </c>
      <c r="X255" s="1">
        <f>+'Volcano Summary'!E$12*10^9/Q255/3600/24/365</f>
        <v>0</v>
      </c>
      <c r="Y255" s="3">
        <f t="shared" si="192"/>
        <v>40</v>
      </c>
      <c r="Z255" s="1">
        <f>+Y255*'Volcano Summary'!B$19*'Volcano Summary'!B$20/1000</f>
        <v>1620000</v>
      </c>
      <c r="AA255" s="1">
        <f t="shared" si="163"/>
        <v>1819398.4196129027</v>
      </c>
      <c r="AB255" s="3">
        <f t="shared" si="188"/>
        <v>505.388449892473</v>
      </c>
      <c r="AC255" s="1">
        <f t="shared" si="193"/>
        <v>521366637.012902</v>
      </c>
      <c r="AD255" s="36">
        <f t="shared" si="194"/>
        <v>144824.06583691723</v>
      </c>
      <c r="AE255" s="36">
        <f t="shared" si="186"/>
        <v>6034.336076538218</v>
      </c>
      <c r="AG255" s="1">
        <f t="shared" si="164"/>
        <v>1620000000</v>
      </c>
      <c r="AH255" s="1">
        <f t="shared" si="195"/>
        <v>1620000</v>
      </c>
      <c r="AI255" s="1">
        <f t="shared" si="196"/>
        <v>1621620000</v>
      </c>
      <c r="AJ255" s="1">
        <f t="shared" si="197"/>
        <v>90860137438.24033</v>
      </c>
      <c r="AK255" s="1">
        <f t="shared" si="198"/>
        <v>90950997575.67857</v>
      </c>
      <c r="AL255" s="39">
        <f>+AJ255/('Volcano Summary'!C$8)*10^6</f>
        <v>6307.772238745677</v>
      </c>
      <c r="AM255" s="1">
        <f t="shared" si="165"/>
        <v>6034.336076538218</v>
      </c>
    </row>
    <row r="256" spans="1:39" ht="12.75" hidden="1">
      <c r="A256" s="1">
        <f t="shared" si="189"/>
        <v>1819398.4196129027</v>
      </c>
      <c r="B256" s="1">
        <f t="shared" si="190"/>
        <v>6054.97468002076</v>
      </c>
      <c r="C256" s="1">
        <f t="shared" si="157"/>
        <v>2440</v>
      </c>
      <c r="D256" s="12">
        <f t="shared" si="166"/>
        <v>55.73781919983771</v>
      </c>
      <c r="E256" s="38">
        <f t="shared" si="158"/>
        <v>588467469.496925</v>
      </c>
      <c r="F256" s="38">
        <f t="shared" si="159"/>
        <v>378354002.2232471</v>
      </c>
      <c r="G256" s="38">
        <f t="shared" si="160"/>
        <v>168240534.94956928</v>
      </c>
      <c r="H256" s="18">
        <f t="shared" si="167"/>
        <v>0.008970569842485976</v>
      </c>
      <c r="I256" s="50">
        <f t="shared" si="199"/>
        <v>0.03736124908784665</v>
      </c>
      <c r="J256" s="3">
        <f t="shared" si="168"/>
        <v>35.01516943450439</v>
      </c>
      <c r="K256" s="12">
        <f t="shared" si="183"/>
        <v>0.94310315215463</v>
      </c>
      <c r="L256" s="3">
        <f t="shared" si="169"/>
        <v>1490.1778090434177</v>
      </c>
      <c r="M256" s="12">
        <f t="shared" si="184"/>
        <v>0.7700394405297114</v>
      </c>
      <c r="N256" s="37">
        <f t="shared" si="170"/>
        <v>3451.548687449869</v>
      </c>
      <c r="O256" s="1">
        <f t="shared" si="161"/>
        <v>69280.963962052</v>
      </c>
      <c r="P256">
        <f t="shared" si="171"/>
        <v>263.2127731741984</v>
      </c>
      <c r="Q256" s="1">
        <f t="shared" si="172"/>
        <v>908.4917017694445</v>
      </c>
      <c r="R256" s="1">
        <f>+Q256*1000/'Material Properties'!AE$35</f>
        <v>779110.1394736004</v>
      </c>
      <c r="S256" s="1">
        <f t="shared" si="173"/>
        <v>319.307434210492</v>
      </c>
      <c r="T256" s="1">
        <f t="shared" si="174"/>
        <v>84.78642006369023</v>
      </c>
      <c r="U256">
        <f t="shared" si="162"/>
        <v>0.00010010804505106054</v>
      </c>
      <c r="V256">
        <f>+'Material Properties'!AE$31+'Material Properties'!AE$33</f>
        <v>0.00029034311030761144</v>
      </c>
      <c r="W256">
        <f t="shared" si="191"/>
        <v>0.000390451155358672</v>
      </c>
      <c r="X256" s="1">
        <f>+'Volcano Summary'!E$12*10^9/Q256/3600/24/365</f>
        <v>0</v>
      </c>
      <c r="Y256" s="3">
        <f t="shared" si="192"/>
        <v>40</v>
      </c>
      <c r="Z256" s="1">
        <f>+Y256*'Volcano Summary'!B$19*'Volcano Summary'!B$20/1000</f>
        <v>1620000</v>
      </c>
      <c r="AA256" s="1">
        <f t="shared" si="163"/>
        <v>1783175.340891689</v>
      </c>
      <c r="AB256" s="3">
        <f t="shared" si="188"/>
        <v>495.3264835810247</v>
      </c>
      <c r="AC256" s="1">
        <f t="shared" si="193"/>
        <v>523149812.35379374</v>
      </c>
      <c r="AD256" s="36">
        <f t="shared" si="194"/>
        <v>145319.39232049824</v>
      </c>
      <c r="AE256" s="36">
        <f t="shared" si="186"/>
        <v>6054.97468002076</v>
      </c>
      <c r="AG256" s="1">
        <f t="shared" si="164"/>
        <v>1620000000</v>
      </c>
      <c r="AH256" s="1">
        <f t="shared" si="195"/>
        <v>1620000</v>
      </c>
      <c r="AI256" s="1">
        <f t="shared" si="196"/>
        <v>1621620000</v>
      </c>
      <c r="AJ256" s="1">
        <f t="shared" si="197"/>
        <v>92480137438.24033</v>
      </c>
      <c r="AK256" s="1">
        <f t="shared" si="198"/>
        <v>92572617575.67857</v>
      </c>
      <c r="AL256" s="39">
        <f>+AJ256/('Volcano Summary'!C$8)*10^6</f>
        <v>6420.237301146819</v>
      </c>
      <c r="AM256" s="1">
        <f t="shared" si="165"/>
        <v>6054.97468002076</v>
      </c>
    </row>
    <row r="257" spans="1:39" ht="12.75" hidden="1">
      <c r="A257" s="1">
        <f t="shared" si="189"/>
        <v>1783175.340891689</v>
      </c>
      <c r="B257" s="1">
        <f t="shared" si="190"/>
        <v>6075.208878402576</v>
      </c>
      <c r="C257" s="1">
        <f t="shared" si="157"/>
        <v>2480</v>
      </c>
      <c r="D257" s="12">
        <f t="shared" si="166"/>
        <v>56.19282935520513</v>
      </c>
      <c r="E257" s="38">
        <f t="shared" si="158"/>
        <v>593271365.2820196</v>
      </c>
      <c r="F257" s="38">
        <f t="shared" si="159"/>
        <v>381442657.5708533</v>
      </c>
      <c r="G257" s="38">
        <f t="shared" si="160"/>
        <v>169613949.85968697</v>
      </c>
      <c r="H257" s="18">
        <f t="shared" si="167"/>
        <v>0.008897932453968615</v>
      </c>
      <c r="I257" s="50">
        <f t="shared" si="199"/>
        <v>0.03729692024824237</v>
      </c>
      <c r="J257" s="3">
        <f t="shared" si="168"/>
        <v>34.6865477109915</v>
      </c>
      <c r="K257" s="12">
        <f t="shared" si="183"/>
        <v>0.9408685244347423</v>
      </c>
      <c r="L257" s="3">
        <f t="shared" si="169"/>
        <v>1486.6469199439146</v>
      </c>
      <c r="M257" s="12">
        <f t="shared" si="184"/>
        <v>0.7691850240485779</v>
      </c>
      <c r="N257" s="37">
        <f t="shared" si="170"/>
        <v>3508.1314528178987</v>
      </c>
      <c r="O257" s="1">
        <f t="shared" si="161"/>
        <v>69771.62213114668</v>
      </c>
      <c r="P257">
        <f t="shared" si="171"/>
        <v>264.14318490384466</v>
      </c>
      <c r="Q257" s="1">
        <f t="shared" si="172"/>
        <v>926.6490150086714</v>
      </c>
      <c r="R257" s="1">
        <f>+Q257*1000/'Material Properties'!AE$35</f>
        <v>794681.6045984079</v>
      </c>
      <c r="S257" s="1">
        <f t="shared" si="173"/>
        <v>320.4361308864548</v>
      </c>
      <c r="T257" s="1">
        <f t="shared" si="174"/>
        <v>87.90762602082918</v>
      </c>
      <c r="U257">
        <f t="shared" si="162"/>
        <v>9.658967798540314E-05</v>
      </c>
      <c r="V257">
        <f>+'Material Properties'!AE$31+'Material Properties'!AE$33</f>
        <v>0.00029034311030761144</v>
      </c>
      <c r="W257">
        <f t="shared" si="191"/>
        <v>0.00038693278829301457</v>
      </c>
      <c r="X257" s="1">
        <f>+'Volcano Summary'!E$12*10^9/Q257/3600/24/365</f>
        <v>0</v>
      </c>
      <c r="Y257" s="3">
        <f t="shared" si="192"/>
        <v>40</v>
      </c>
      <c r="Z257" s="1">
        <f>+Y257*'Volcano Summary'!B$19*'Volcano Summary'!B$20/1000</f>
        <v>1620000</v>
      </c>
      <c r="AA257" s="1">
        <f t="shared" si="163"/>
        <v>1748234.7401889162</v>
      </c>
      <c r="AB257" s="3">
        <f t="shared" si="188"/>
        <v>485.6207611635878</v>
      </c>
      <c r="AC257" s="1">
        <f t="shared" si="193"/>
        <v>524898047.09398264</v>
      </c>
      <c r="AD257" s="36">
        <f t="shared" si="194"/>
        <v>145805.01308166183</v>
      </c>
      <c r="AE257" s="36">
        <f t="shared" si="186"/>
        <v>6075.208878402576</v>
      </c>
      <c r="AG257" s="1">
        <f t="shared" si="164"/>
        <v>1619999999.9999998</v>
      </c>
      <c r="AH257" s="1">
        <f t="shared" si="195"/>
        <v>1620000</v>
      </c>
      <c r="AI257" s="1">
        <f t="shared" si="196"/>
        <v>1621619999.9999998</v>
      </c>
      <c r="AJ257" s="1">
        <f t="shared" si="197"/>
        <v>94100137438.24033</v>
      </c>
      <c r="AK257" s="1">
        <f t="shared" si="198"/>
        <v>94194237575.67857</v>
      </c>
      <c r="AL257" s="39">
        <f>+AJ257/('Volcano Summary'!C$8)*10^6</f>
        <v>6532.702363547961</v>
      </c>
      <c r="AM257" s="1">
        <f t="shared" si="165"/>
        <v>6075.208878402576</v>
      </c>
    </row>
    <row r="258" spans="1:39" ht="12.75" hidden="1">
      <c r="A258" s="1">
        <f t="shared" si="189"/>
        <v>1748234.7401889162</v>
      </c>
      <c r="B258" s="1">
        <f t="shared" si="190"/>
        <v>6095.052766313817</v>
      </c>
      <c r="C258" s="1">
        <f t="shared" si="157"/>
        <v>2520</v>
      </c>
      <c r="D258" s="12">
        <f t="shared" si="166"/>
        <v>56.64418463295778</v>
      </c>
      <c r="E258" s="38">
        <f t="shared" si="158"/>
        <v>598036673.6840383</v>
      </c>
      <c r="F258" s="38">
        <f t="shared" si="159"/>
        <v>384506503.2363974</v>
      </c>
      <c r="G258" s="38">
        <f t="shared" si="160"/>
        <v>170976332.7887564</v>
      </c>
      <c r="H258" s="18">
        <f t="shared" si="167"/>
        <v>0.008827031463863294</v>
      </c>
      <c r="I258" s="50">
        <f t="shared" si="199"/>
        <v>0.0372338365837918</v>
      </c>
      <c r="J258" s="3">
        <f t="shared" si="168"/>
        <v>34.366424704547434</v>
      </c>
      <c r="K258" s="12">
        <f t="shared" si="183"/>
        <v>0.9386916879909227</v>
      </c>
      <c r="L258" s="3">
        <f t="shared" si="169"/>
        <v>1483.2073456459325</v>
      </c>
      <c r="M258" s="12">
        <f t="shared" si="184"/>
        <v>0.7683527042318233</v>
      </c>
      <c r="N258" s="37">
        <f t="shared" si="170"/>
        <v>3564.714218185931</v>
      </c>
      <c r="O258" s="1">
        <f t="shared" si="161"/>
        <v>70258.61379943276</v>
      </c>
      <c r="P258">
        <f t="shared" si="171"/>
        <v>265.06341467549373</v>
      </c>
      <c r="Q258" s="1">
        <f t="shared" si="172"/>
        <v>944.8753230146458</v>
      </c>
      <c r="R258" s="1">
        <f>+Q258*1000/'Material Properties'!AE$35</f>
        <v>810312.2386977243</v>
      </c>
      <c r="S258" s="1">
        <f t="shared" si="173"/>
        <v>321.55247567370014</v>
      </c>
      <c r="T258" s="1">
        <f t="shared" si="174"/>
        <v>90.93293872101617</v>
      </c>
      <c r="U258">
        <f t="shared" si="162"/>
        <v>9.340766090541027E-05</v>
      </c>
      <c r="V258">
        <f>+'Material Properties'!AE$31+'Material Properties'!AE$33</f>
        <v>0.00029034311030761144</v>
      </c>
      <c r="W258">
        <f t="shared" si="191"/>
        <v>0.0003837507712130217</v>
      </c>
      <c r="X258" s="1">
        <f>+'Volcano Summary'!E$12*10^9/Q258/3600/24/365</f>
        <v>0</v>
      </c>
      <c r="Y258" s="3">
        <f t="shared" si="192"/>
        <v>40</v>
      </c>
      <c r="Z258" s="1">
        <f>+Y258*'Volcano Summary'!B$19*'Volcano Summary'!B$20/1000</f>
        <v>1620000</v>
      </c>
      <c r="AA258" s="1">
        <f t="shared" si="163"/>
        <v>1714511.915531198</v>
      </c>
      <c r="AB258" s="3">
        <f t="shared" si="188"/>
        <v>476.25330986977724</v>
      </c>
      <c r="AC258" s="1">
        <f t="shared" si="193"/>
        <v>526612559.00951385</v>
      </c>
      <c r="AD258" s="36">
        <f t="shared" si="194"/>
        <v>146281.26639153162</v>
      </c>
      <c r="AE258" s="36">
        <f t="shared" si="186"/>
        <v>6095.052766313817</v>
      </c>
      <c r="AG258" s="1">
        <f t="shared" si="164"/>
        <v>1619999999.9999998</v>
      </c>
      <c r="AH258" s="1">
        <f t="shared" si="195"/>
        <v>1620000</v>
      </c>
      <c r="AI258" s="1">
        <f t="shared" si="196"/>
        <v>1621619999.9999998</v>
      </c>
      <c r="AJ258" s="1">
        <f t="shared" si="197"/>
        <v>95720137438.24033</v>
      </c>
      <c r="AK258" s="1">
        <f t="shared" si="198"/>
        <v>95815857575.67857</v>
      </c>
      <c r="AL258" s="39">
        <f>+AJ258/('Volcano Summary'!C$8)*10^6</f>
        <v>6645.167425949103</v>
      </c>
      <c r="AM258" s="1">
        <f t="shared" si="165"/>
        <v>6095.052766313817</v>
      </c>
    </row>
    <row r="259" spans="1:39" ht="12.75" hidden="1">
      <c r="A259" s="1">
        <f t="shared" si="189"/>
        <v>1714511.915531198</v>
      </c>
      <c r="B259" s="1">
        <f t="shared" si="190"/>
        <v>6114.519738249964</v>
      </c>
      <c r="C259" s="1">
        <f t="shared" si="157"/>
        <v>2560</v>
      </c>
      <c r="D259" s="12">
        <f t="shared" si="166"/>
        <v>57.09197171688868</v>
      </c>
      <c r="E259" s="38">
        <f t="shared" si="158"/>
        <v>602764309.8911433</v>
      </c>
      <c r="F259" s="38">
        <f t="shared" si="159"/>
        <v>387546127.6383084</v>
      </c>
      <c r="G259" s="38">
        <f t="shared" si="160"/>
        <v>172327945.38547352</v>
      </c>
      <c r="H259" s="18">
        <f t="shared" si="167"/>
        <v>0.008757798775621764</v>
      </c>
      <c r="I259" s="50">
        <f t="shared" si="199"/>
        <v>0.03717195444153649</v>
      </c>
      <c r="J259" s="3">
        <f t="shared" si="168"/>
        <v>34.05444970955562</v>
      </c>
      <c r="K259" s="12">
        <f t="shared" si="183"/>
        <v>0.9365702580249784</v>
      </c>
      <c r="L259" s="3">
        <f t="shared" si="169"/>
        <v>1479.8553179791097</v>
      </c>
      <c r="M259" s="12">
        <f t="shared" si="184"/>
        <v>0.7675415692448446</v>
      </c>
      <c r="N259" s="37">
        <f t="shared" si="170"/>
        <v>3621.296983553961</v>
      </c>
      <c r="O259" s="1">
        <f t="shared" si="161"/>
        <v>70742.01935941498</v>
      </c>
      <c r="P259">
        <f t="shared" si="171"/>
        <v>265.9737193021427</v>
      </c>
      <c r="Q259" s="1">
        <f t="shared" si="172"/>
        <v>963.1698274134773</v>
      </c>
      <c r="R259" s="1">
        <f>+Q259*1000/'Material Properties'!AE$35</f>
        <v>826001.357096949</v>
      </c>
      <c r="S259" s="1">
        <f t="shared" si="173"/>
        <v>322.65678011599573</v>
      </c>
      <c r="T259" s="1">
        <f t="shared" si="174"/>
        <v>93.86684097977854</v>
      </c>
      <c r="U259">
        <f t="shared" si="162"/>
        <v>9.051583772672512E-05</v>
      </c>
      <c r="V259">
        <f>+'Material Properties'!AE$31+'Material Properties'!AE$33</f>
        <v>0.00029034311030761144</v>
      </c>
      <c r="W259">
        <f t="shared" si="191"/>
        <v>0.00038085894803433656</v>
      </c>
      <c r="X259" s="1">
        <f>+'Volcano Summary'!E$12*10^9/Q259/3600/24/365</f>
        <v>0</v>
      </c>
      <c r="Y259" s="3">
        <f t="shared" si="192"/>
        <v>40</v>
      </c>
      <c r="Z259" s="1">
        <f>+Y259*'Volcano Summary'!B$19*'Volcano Summary'!B$20/1000</f>
        <v>1620000</v>
      </c>
      <c r="AA259" s="1">
        <f t="shared" si="163"/>
        <v>1681946.3752829474</v>
      </c>
      <c r="AB259" s="3">
        <f t="shared" si="188"/>
        <v>467.2073264674854</v>
      </c>
      <c r="AC259" s="1">
        <f t="shared" si="193"/>
        <v>528294505.3847968</v>
      </c>
      <c r="AD259" s="36">
        <f t="shared" si="194"/>
        <v>146748.47371799912</v>
      </c>
      <c r="AE259" s="36">
        <f t="shared" si="186"/>
        <v>6114.519738249964</v>
      </c>
      <c r="AG259" s="1">
        <f t="shared" si="164"/>
        <v>1620000000.0000002</v>
      </c>
      <c r="AH259" s="1">
        <f t="shared" si="195"/>
        <v>1620000</v>
      </c>
      <c r="AI259" s="1">
        <f t="shared" si="196"/>
        <v>1621620000.0000002</v>
      </c>
      <c r="AJ259" s="1">
        <f t="shared" si="197"/>
        <v>97340137438.24033</v>
      </c>
      <c r="AK259" s="1">
        <f t="shared" si="198"/>
        <v>97437477575.67857</v>
      </c>
      <c r="AL259" s="39">
        <f>+AJ259/('Volcano Summary'!C$8)*10^6</f>
        <v>6757.632488350244</v>
      </c>
      <c r="AM259" s="1">
        <f t="shared" si="165"/>
        <v>6114.519738249964</v>
      </c>
    </row>
    <row r="260" spans="1:39" ht="12.75" hidden="1">
      <c r="A260" s="1">
        <f t="shared" si="189"/>
        <v>1681946.3752829474</v>
      </c>
      <c r="B260" s="1">
        <f t="shared" si="190"/>
        <v>6133.622533439234</v>
      </c>
      <c r="C260" s="1">
        <f aca="true" t="shared" si="200" ref="C260:C323">+C90*10</f>
        <v>2600</v>
      </c>
      <c r="D260" s="12">
        <f t="shared" si="166"/>
        <v>57.53627391751592</v>
      </c>
      <c r="E260" s="38">
        <f t="shared" si="158"/>
        <v>607455153.4772122</v>
      </c>
      <c r="F260" s="38">
        <f t="shared" si="159"/>
        <v>390562096.29688126</v>
      </c>
      <c r="G260" s="38">
        <f t="shared" si="160"/>
        <v>173669039.1165504</v>
      </c>
      <c r="H260" s="18">
        <f t="shared" si="167"/>
        <v>0.008690169973759522</v>
      </c>
      <c r="I260" s="50">
        <f t="shared" si="199"/>
        <v>0.03711123235837571</v>
      </c>
      <c r="J260" s="3">
        <f t="shared" si="168"/>
        <v>33.75029171299693</v>
      </c>
      <c r="K260" s="12">
        <f t="shared" si="183"/>
        <v>0.9345019836483793</v>
      </c>
      <c r="L260" s="3">
        <f t="shared" si="169"/>
        <v>1476.5872803609768</v>
      </c>
      <c r="M260" s="12">
        <f t="shared" si="184"/>
        <v>0.766750758453792</v>
      </c>
      <c r="N260" s="37">
        <f t="shared" si="170"/>
        <v>3677.879748921991</v>
      </c>
      <c r="O260" s="1">
        <f t="shared" si="161"/>
        <v>71221.91622751953</v>
      </c>
      <c r="P260">
        <f t="shared" si="171"/>
        <v>266.87434539033444</v>
      </c>
      <c r="Q260" s="1">
        <f t="shared" si="172"/>
        <v>981.531750417924</v>
      </c>
      <c r="R260" s="1">
        <f>+Q260*1000/'Material Properties'!AE$35</f>
        <v>841748.2927763115</v>
      </c>
      <c r="S260" s="1">
        <f t="shared" si="173"/>
        <v>323.74934337550445</v>
      </c>
      <c r="T260" s="1">
        <f t="shared" si="174"/>
        <v>96.7135378336784</v>
      </c>
      <c r="U260">
        <f t="shared" si="162"/>
        <v>8.787613061024073E-05</v>
      </c>
      <c r="V260">
        <f>+'Material Properties'!AE$31+'Material Properties'!AE$33</f>
        <v>0.00029034311030761144</v>
      </c>
      <c r="W260">
        <f t="shared" si="191"/>
        <v>0.0003782192409178522</v>
      </c>
      <c r="X260" s="1">
        <f>+'Volcano Summary'!E$12*10^9/Q260/3600/24/365</f>
        <v>0</v>
      </c>
      <c r="Y260" s="3">
        <f t="shared" si="192"/>
        <v>40</v>
      </c>
      <c r="Z260" s="1">
        <f>+Y260*'Volcano Summary'!B$19*'Volcano Summary'!B$20/1000</f>
        <v>1620000</v>
      </c>
      <c r="AA260" s="1">
        <f t="shared" si="163"/>
        <v>1650481.5043529915</v>
      </c>
      <c r="AB260" s="3">
        <f t="shared" si="188"/>
        <v>458.4670845424976</v>
      </c>
      <c r="AC260" s="1">
        <f t="shared" si="193"/>
        <v>529944986.8891498</v>
      </c>
      <c r="AD260" s="36">
        <f t="shared" si="194"/>
        <v>147206.94080254162</v>
      </c>
      <c r="AE260" s="36">
        <f t="shared" si="186"/>
        <v>6133.622533439234</v>
      </c>
      <c r="AG260" s="1">
        <f t="shared" si="164"/>
        <v>1620000000</v>
      </c>
      <c r="AH260" s="1">
        <f t="shared" si="195"/>
        <v>1620000</v>
      </c>
      <c r="AI260" s="1">
        <f t="shared" si="196"/>
        <v>1621620000</v>
      </c>
      <c r="AJ260" s="1">
        <f t="shared" si="197"/>
        <v>98960137438.24033</v>
      </c>
      <c r="AK260" s="1">
        <f t="shared" si="198"/>
        <v>99059097575.67857</v>
      </c>
      <c r="AL260" s="39">
        <f>+AJ260/('Volcano Summary'!C$8)*10^6</f>
        <v>6870.097550751386</v>
      </c>
      <c r="AM260" s="1">
        <f t="shared" si="165"/>
        <v>6133.622533439234</v>
      </c>
    </row>
    <row r="261" spans="1:39" ht="12.75" hidden="1">
      <c r="A261" s="1">
        <f t="shared" si="189"/>
        <v>1650481.5043529915</v>
      </c>
      <c r="B261" s="1">
        <f t="shared" si="190"/>
        <v>6152.373277206261</v>
      </c>
      <c r="C261" s="1">
        <f t="shared" si="200"/>
        <v>2640</v>
      </c>
      <c r="D261" s="12">
        <f t="shared" si="166"/>
        <v>57.97717135304921</v>
      </c>
      <c r="E261" s="38">
        <f t="shared" si="158"/>
        <v>612110050.3124423</v>
      </c>
      <c r="F261" s="38">
        <f t="shared" si="159"/>
        <v>393554953.06269586</v>
      </c>
      <c r="G261" s="38">
        <f t="shared" si="160"/>
        <v>174999855.8129494</v>
      </c>
      <c r="H261" s="18">
        <f t="shared" si="167"/>
        <v>0.00862408407190606</v>
      </c>
      <c r="I261" s="50">
        <f t="shared" si="199"/>
        <v>0.03705163091923556</v>
      </c>
      <c r="J261" s="3">
        <f t="shared" si="168"/>
        <v>33.45363800487215</v>
      </c>
      <c r="K261" s="12">
        <f t="shared" si="183"/>
        <v>0.9324847384331307</v>
      </c>
      <c r="L261" s="3">
        <f t="shared" si="169"/>
        <v>1473.3998728665847</v>
      </c>
      <c r="M261" s="12">
        <f t="shared" si="184"/>
        <v>0.7659794588126676</v>
      </c>
      <c r="N261" s="37">
        <f t="shared" si="170"/>
        <v>3734.4625142900218</v>
      </c>
      <c r="O261" s="1">
        <f t="shared" si="161"/>
        <v>71698.37899805422</v>
      </c>
      <c r="P261">
        <f t="shared" si="171"/>
        <v>267.7655298914597</v>
      </c>
      <c r="Q261" s="1">
        <f t="shared" si="172"/>
        <v>999.9603339986606</v>
      </c>
      <c r="R261" s="1">
        <f>+Q261*1000/'Material Properties'!AE$35</f>
        <v>857552.395660162</v>
      </c>
      <c r="S261" s="1">
        <f t="shared" si="173"/>
        <v>324.8304529015765</v>
      </c>
      <c r="T261" s="1">
        <f t="shared" si="174"/>
        <v>99.47697780917929</v>
      </c>
      <c r="U261">
        <f t="shared" si="162"/>
        <v>8.545684665169872E-05</v>
      </c>
      <c r="V261">
        <f>+'Material Properties'!AE$31+'Material Properties'!AE$33</f>
        <v>0.00029034311030761144</v>
      </c>
      <c r="W261">
        <f t="shared" si="191"/>
        <v>0.00037579995695931015</v>
      </c>
      <c r="X261" s="1">
        <f>+'Volcano Summary'!E$12*10^9/Q261/3600/24/365</f>
        <v>0</v>
      </c>
      <c r="Y261" s="3">
        <f t="shared" si="192"/>
        <v>40</v>
      </c>
      <c r="Z261" s="1">
        <f>+Y261*'Volcano Summary'!B$19*'Volcano Summary'!B$20/1000</f>
        <v>1620000</v>
      </c>
      <c r="AA261" s="1">
        <f t="shared" si="163"/>
        <v>1620064.2614711653</v>
      </c>
      <c r="AB261" s="3">
        <f t="shared" si="188"/>
        <v>450.01785040865707</v>
      </c>
      <c r="AC261" s="1">
        <f t="shared" si="193"/>
        <v>531565051.15062094</v>
      </c>
      <c r="AD261" s="36">
        <f t="shared" si="194"/>
        <v>147656.95865295027</v>
      </c>
      <c r="AE261" s="36">
        <f t="shared" si="186"/>
        <v>6152.373277206261</v>
      </c>
      <c r="AG261" s="1">
        <f t="shared" si="164"/>
        <v>1620000000</v>
      </c>
      <c r="AH261" s="1">
        <f t="shared" si="195"/>
        <v>1620000</v>
      </c>
      <c r="AI261" s="1">
        <f t="shared" si="196"/>
        <v>1621620000</v>
      </c>
      <c r="AJ261" s="1">
        <f t="shared" si="197"/>
        <v>100580137438.24033</v>
      </c>
      <c r="AK261" s="1">
        <f t="shared" si="198"/>
        <v>100680717575.67857</v>
      </c>
      <c r="AL261" s="39">
        <f>+AJ261/('Volcano Summary'!C$8)*10^6</f>
        <v>6982.562613152528</v>
      </c>
      <c r="AM261" s="1">
        <f t="shared" si="165"/>
        <v>6152.373277206261</v>
      </c>
    </row>
    <row r="262" spans="1:39" ht="12.75" hidden="1">
      <c r="A262" s="1">
        <f t="shared" si="189"/>
        <v>1620064.2614711653</v>
      </c>
      <c r="B262" s="1">
        <f t="shared" si="190"/>
        <v>6170.783519153324</v>
      </c>
      <c r="C262" s="1">
        <f t="shared" si="200"/>
        <v>2680</v>
      </c>
      <c r="D262" s="12">
        <f t="shared" si="166"/>
        <v>58.41474111806228</v>
      </c>
      <c r="E262" s="38">
        <f t="shared" si="158"/>
        <v>616729814.3441566</v>
      </c>
      <c r="F262" s="38">
        <f t="shared" si="159"/>
        <v>396525221.2615827</v>
      </c>
      <c r="G262" s="38">
        <f t="shared" si="160"/>
        <v>176320628.1790087</v>
      </c>
      <c r="H262" s="18">
        <f t="shared" si="167"/>
        <v>0.008559483281616329</v>
      </c>
      <c r="I262" s="50">
        <f t="shared" si="199"/>
        <v>0.03699311262642932</v>
      </c>
      <c r="J262" s="3">
        <f t="shared" si="168"/>
        <v>33.164192906087166</v>
      </c>
      <c r="K262" s="12">
        <f t="shared" si="183"/>
        <v>0.9305165117613929</v>
      </c>
      <c r="L262" s="3">
        <f t="shared" si="169"/>
        <v>1470.2899185602184</v>
      </c>
      <c r="M262" s="12">
        <f t="shared" si="184"/>
        <v>0.7652269015558266</v>
      </c>
      <c r="N262" s="37">
        <f t="shared" si="170"/>
        <v>3791.045279658052</v>
      </c>
      <c r="O262" s="1">
        <f t="shared" si="161"/>
        <v>72171.4795870044</v>
      </c>
      <c r="P262">
        <f t="shared" si="171"/>
        <v>268.6475006155918</v>
      </c>
      <c r="Q262" s="1">
        <f t="shared" si="172"/>
        <v>1018.454839100673</v>
      </c>
      <c r="R262" s="1">
        <f>+Q262*1000/'Material Properties'!AE$35</f>
        <v>873413.0319449619</v>
      </c>
      <c r="S262" s="1">
        <f t="shared" si="173"/>
        <v>325.90038505409024</v>
      </c>
      <c r="T262" s="1">
        <f t="shared" si="174"/>
        <v>102.16087226362151</v>
      </c>
      <c r="U262">
        <f t="shared" si="162"/>
        <v>8.32313933658393E-05</v>
      </c>
      <c r="V262">
        <f>+'Material Properties'!AE$31+'Material Properties'!AE$33</f>
        <v>0.00029034311030761144</v>
      </c>
      <c r="W262">
        <f t="shared" si="191"/>
        <v>0.0003735745036734507</v>
      </c>
      <c r="X262" s="1">
        <f>+'Volcano Summary'!E$12*10^9/Q262/3600/24/365</f>
        <v>0</v>
      </c>
      <c r="Y262" s="3">
        <f t="shared" si="192"/>
        <v>40</v>
      </c>
      <c r="Z262" s="1">
        <f>+Y262*'Volcano Summary'!B$19*'Volcano Summary'!B$20/1000</f>
        <v>1620000</v>
      </c>
      <c r="AA262" s="1">
        <f t="shared" si="163"/>
        <v>1590644.9042262002</v>
      </c>
      <c r="AB262" s="3">
        <f t="shared" si="188"/>
        <v>441.84580672950005</v>
      </c>
      <c r="AC262" s="1">
        <f t="shared" si="193"/>
        <v>533155696.0548471</v>
      </c>
      <c r="AD262" s="36">
        <f t="shared" si="194"/>
        <v>148098.80445967978</v>
      </c>
      <c r="AE262" s="36">
        <f t="shared" si="186"/>
        <v>6170.783519153324</v>
      </c>
      <c r="AG262" s="1">
        <f t="shared" si="164"/>
        <v>1620000000</v>
      </c>
      <c r="AH262" s="1">
        <f t="shared" si="195"/>
        <v>1620000</v>
      </c>
      <c r="AI262" s="1">
        <f t="shared" si="196"/>
        <v>1621620000</v>
      </c>
      <c r="AJ262" s="1">
        <f t="shared" si="197"/>
        <v>102200137438.24033</v>
      </c>
      <c r="AK262" s="1">
        <f t="shared" si="198"/>
        <v>102302337575.67857</v>
      </c>
      <c r="AL262" s="39">
        <f>+AJ262/('Volcano Summary'!C$8)*10^6</f>
        <v>7095.027675553669</v>
      </c>
      <c r="AM262" s="1">
        <f t="shared" si="165"/>
        <v>6170.783519153324</v>
      </c>
    </row>
    <row r="263" spans="1:39" ht="12.75" hidden="1">
      <c r="A263" s="1">
        <f t="shared" si="189"/>
        <v>1590644.9042262002</v>
      </c>
      <c r="B263" s="1">
        <f t="shared" si="190"/>
        <v>6188.864268446746</v>
      </c>
      <c r="C263" s="1">
        <f t="shared" si="200"/>
        <v>2720</v>
      </c>
      <c r="D263" s="12">
        <f t="shared" si="166"/>
        <v>58.84905744087702</v>
      </c>
      <c r="E263" s="38">
        <f t="shared" si="158"/>
        <v>621315229.2584299</v>
      </c>
      <c r="F263" s="38">
        <f t="shared" si="159"/>
        <v>399473404.7629623</v>
      </c>
      <c r="G263" s="38">
        <f t="shared" si="160"/>
        <v>177631580.2674947</v>
      </c>
      <c r="H263" s="18">
        <f t="shared" si="167"/>
        <v>0.008496312799951423</v>
      </c>
      <c r="I263" s="50">
        <f t="shared" si="199"/>
        <v>0.036935641779172634</v>
      </c>
      <c r="J263" s="3">
        <f t="shared" si="168"/>
        <v>32.88167660228051</v>
      </c>
      <c r="K263" s="12">
        <f t="shared" si="183"/>
        <v>0.9285954008955076</v>
      </c>
      <c r="L263" s="3">
        <f t="shared" si="169"/>
        <v>1467.2544109654086</v>
      </c>
      <c r="M263" s="12">
        <f t="shared" si="184"/>
        <v>0.7644923591659293</v>
      </c>
      <c r="N263" s="37">
        <f t="shared" si="170"/>
        <v>3847.6280450260833</v>
      </c>
      <c r="O263" s="1">
        <f t="shared" si="161"/>
        <v>72641.2873664766</v>
      </c>
      <c r="P263">
        <f t="shared" si="171"/>
        <v>269.52047671091077</v>
      </c>
      <c r="Q263" s="1">
        <f t="shared" si="172"/>
        <v>1037.0145449016995</v>
      </c>
      <c r="R263" s="1">
        <f>+Q263*1000/'Material Properties'!AE$35</f>
        <v>889329.5834633338</v>
      </c>
      <c r="S263" s="1">
        <f t="shared" si="173"/>
        <v>326.9594056850492</v>
      </c>
      <c r="T263" s="1">
        <f t="shared" si="174"/>
        <v>104.76871299928303</v>
      </c>
      <c r="U263">
        <f t="shared" si="162"/>
        <v>8.117729228005456E-05</v>
      </c>
      <c r="V263">
        <f>+'Material Properties'!AE$31+'Material Properties'!AE$33</f>
        <v>0.00029034311030761144</v>
      </c>
      <c r="W263">
        <f t="shared" si="191"/>
        <v>0.00037152040258766597</v>
      </c>
      <c r="X263" s="1">
        <f>+'Volcano Summary'!E$12*10^9/Q263/3600/24/365</f>
        <v>0</v>
      </c>
      <c r="Y263" s="3">
        <f t="shared" si="192"/>
        <v>40</v>
      </c>
      <c r="Z263" s="1">
        <f>+Y263*'Volcano Summary'!B$19*'Volcano Summary'!B$20/1000</f>
        <v>1620000</v>
      </c>
      <c r="AA263" s="1">
        <f t="shared" si="163"/>
        <v>1562176.7389516823</v>
      </c>
      <c r="AB263" s="3">
        <f t="shared" si="188"/>
        <v>433.93798304213396</v>
      </c>
      <c r="AC263" s="1">
        <f t="shared" si="193"/>
        <v>534717872.7937988</v>
      </c>
      <c r="AD263" s="36">
        <f t="shared" si="194"/>
        <v>148532.7424427219</v>
      </c>
      <c r="AE263" s="36">
        <f t="shared" si="186"/>
        <v>6188.864268446746</v>
      </c>
      <c r="AG263" s="1">
        <f t="shared" si="164"/>
        <v>1620000000</v>
      </c>
      <c r="AH263" s="1">
        <f t="shared" si="195"/>
        <v>1620000</v>
      </c>
      <c r="AI263" s="1">
        <f t="shared" si="196"/>
        <v>1621620000</v>
      </c>
      <c r="AJ263" s="1">
        <f t="shared" si="197"/>
        <v>103820137438.24033</v>
      </c>
      <c r="AK263" s="1">
        <f t="shared" si="198"/>
        <v>103923957575.67857</v>
      </c>
      <c r="AL263" s="39">
        <f>+AJ263/('Volcano Summary'!C$8)*10^6</f>
        <v>7207.492737954811</v>
      </c>
      <c r="AM263" s="1">
        <f t="shared" si="165"/>
        <v>6188.864268446746</v>
      </c>
    </row>
    <row r="264" spans="1:39" ht="12.75" hidden="1">
      <c r="A264" s="1">
        <f t="shared" si="189"/>
        <v>1562176.7389516823</v>
      </c>
      <c r="B264" s="1">
        <f t="shared" si="190"/>
        <v>6206.626026466307</v>
      </c>
      <c r="C264" s="1">
        <f t="shared" si="200"/>
        <v>2760</v>
      </c>
      <c r="D264" s="12">
        <f t="shared" si="166"/>
        <v>59.28019183056891</v>
      </c>
      <c r="E264" s="38">
        <f t="shared" si="158"/>
        <v>625867050.0321394</v>
      </c>
      <c r="F264" s="38">
        <f t="shared" si="159"/>
        <v>402399988.97773325</v>
      </c>
      <c r="G264" s="38">
        <f t="shared" si="160"/>
        <v>178932927.92332712</v>
      </c>
      <c r="H264" s="18">
        <f t="shared" si="167"/>
        <v>0.008434520614053849</v>
      </c>
      <c r="I264" s="50">
        <f t="shared" si="199"/>
        <v>0.03687918436232693</v>
      </c>
      <c r="J264" s="3">
        <f t="shared" si="168"/>
        <v>32.60582407335388</v>
      </c>
      <c r="K264" s="12">
        <f t="shared" si="183"/>
        <v>0.9267196036988066</v>
      </c>
      <c r="L264" s="3">
        <f t="shared" si="169"/>
        <v>1464.2905025632326</v>
      </c>
      <c r="M264" s="12">
        <f t="shared" si="184"/>
        <v>0.7637751425907201</v>
      </c>
      <c r="N264" s="37">
        <f t="shared" si="170"/>
        <v>3904.2108103941137</v>
      </c>
      <c r="O264" s="1">
        <f t="shared" si="161"/>
        <v>73107.86929052639</v>
      </c>
      <c r="P264">
        <f t="shared" si="171"/>
        <v>270.38466911148345</v>
      </c>
      <c r="Q264" s="1">
        <f t="shared" si="172"/>
        <v>1055.638748109889</v>
      </c>
      <c r="R264" s="1">
        <f>+Q264*1000/'Material Properties'!AE$35</f>
        <v>905301.447081742</v>
      </c>
      <c r="S264" s="1">
        <f t="shared" si="173"/>
        <v>328.0077706817906</v>
      </c>
      <c r="T264" s="1">
        <f t="shared" si="174"/>
        <v>107.30378832790734</v>
      </c>
      <c r="U264">
        <f t="shared" si="162"/>
        <v>7.927541292736452E-05</v>
      </c>
      <c r="V264">
        <f>+'Material Properties'!AE$31+'Material Properties'!AE$33</f>
        <v>0.00029034311030761144</v>
      </c>
      <c r="W264">
        <f t="shared" si="191"/>
        <v>0.00036961852323497596</v>
      </c>
      <c r="X264" s="1">
        <f>+'Volcano Summary'!E$12*10^9/Q264/3600/24/365</f>
        <v>0</v>
      </c>
      <c r="Y264" s="3">
        <f t="shared" si="192"/>
        <v>40</v>
      </c>
      <c r="Z264" s="1">
        <f>+Y264*'Volcano Summary'!B$19*'Volcano Summary'!B$20/1000</f>
        <v>1620000</v>
      </c>
      <c r="AA264" s="1">
        <f t="shared" si="163"/>
        <v>1534615.8928900573</v>
      </c>
      <c r="AB264" s="3">
        <f t="shared" si="188"/>
        <v>426.28219246946037</v>
      </c>
      <c r="AC264" s="1">
        <f t="shared" si="193"/>
        <v>536252488.68668884</v>
      </c>
      <c r="AD264" s="36">
        <f t="shared" si="194"/>
        <v>148959.02463519137</v>
      </c>
      <c r="AE264" s="36">
        <f t="shared" si="186"/>
        <v>6206.626026466307</v>
      </c>
      <c r="AG264" s="1">
        <f t="shared" si="164"/>
        <v>1619999999.9999998</v>
      </c>
      <c r="AH264" s="1">
        <f t="shared" si="195"/>
        <v>1620000</v>
      </c>
      <c r="AI264" s="1">
        <f t="shared" si="196"/>
        <v>1621619999.9999998</v>
      </c>
      <c r="AJ264" s="1">
        <f t="shared" si="197"/>
        <v>105440137438.24033</v>
      </c>
      <c r="AK264" s="1">
        <f t="shared" si="198"/>
        <v>105545577575.67857</v>
      </c>
      <c r="AL264" s="39">
        <f>+AJ264/('Volcano Summary'!C$8)*10^6</f>
        <v>7319.957800355952</v>
      </c>
      <c r="AM264" s="1">
        <f t="shared" si="165"/>
        <v>6206.626026466307</v>
      </c>
    </row>
    <row r="265" spans="1:39" ht="12.75" hidden="1">
      <c r="A265" s="1">
        <f t="shared" si="189"/>
        <v>1534615.8928900573</v>
      </c>
      <c r="B265" s="1">
        <f t="shared" si="190"/>
        <v>6224.078817049213</v>
      </c>
      <c r="C265" s="1">
        <f t="shared" si="200"/>
        <v>2800</v>
      </c>
      <c r="D265" s="12">
        <f t="shared" si="166"/>
        <v>59.708213214418464</v>
      </c>
      <c r="E265" s="38">
        <f t="shared" si="158"/>
        <v>630386004.3841472</v>
      </c>
      <c r="F265" s="38">
        <f t="shared" si="159"/>
        <v>405305441.7913066</v>
      </c>
      <c r="G265" s="38">
        <f t="shared" si="160"/>
        <v>180224879.19846624</v>
      </c>
      <c r="H265" s="18">
        <f t="shared" si="167"/>
        <v>0.008374057321133485</v>
      </c>
      <c r="I265" s="50">
        <f t="shared" si="199"/>
        <v>0.036823707943541</v>
      </c>
      <c r="J265" s="3">
        <f t="shared" si="168"/>
        <v>32.336384109589076</v>
      </c>
      <c r="K265" s="12">
        <f t="shared" si="183"/>
        <v>0.9248874119452059</v>
      </c>
      <c r="L265" s="3">
        <f t="shared" si="169"/>
        <v>1461.395494220942</v>
      </c>
      <c r="M265" s="12">
        <f t="shared" si="184"/>
        <v>0.7630745986849317</v>
      </c>
      <c r="N265" s="37">
        <f t="shared" si="170"/>
        <v>3960.7935757621444</v>
      </c>
      <c r="O265" s="1">
        <f t="shared" si="161"/>
        <v>73571.2900130384</v>
      </c>
      <c r="P265">
        <f t="shared" si="171"/>
        <v>271.24028095590523</v>
      </c>
      <c r="Q265" s="1">
        <f t="shared" si="172"/>
        <v>1074.3267622980684</v>
      </c>
      <c r="R265" s="1">
        <f>+Q265*1000/'Material Properties'!AE$35</f>
        <v>921328.0341295698</v>
      </c>
      <c r="S265" s="1">
        <f t="shared" si="173"/>
        <v>329.04572647484633</v>
      </c>
      <c r="T265" s="1">
        <f t="shared" si="174"/>
        <v>109.76919774254998</v>
      </c>
      <c r="U265">
        <f t="shared" si="162"/>
        <v>7.750937184847755E-05</v>
      </c>
      <c r="V265">
        <f>+'Material Properties'!AE$31+'Material Properties'!AE$33</f>
        <v>0.00029034311030761144</v>
      </c>
      <c r="W265">
        <f t="shared" si="191"/>
        <v>0.000367852482156089</v>
      </c>
      <c r="X265" s="1">
        <f>+'Volcano Summary'!E$12*10^9/Q265/3600/24/365</f>
        <v>0</v>
      </c>
      <c r="Y265" s="3">
        <f t="shared" si="192"/>
        <v>40</v>
      </c>
      <c r="Z265" s="1">
        <f>+Y265*'Volcano Summary'!B$19*'Volcano Summary'!B$20/1000</f>
        <v>1620000</v>
      </c>
      <c r="AA265" s="1">
        <f t="shared" si="163"/>
        <v>1507921.106363109</v>
      </c>
      <c r="AB265" s="3">
        <f t="shared" si="188"/>
        <v>418.8669739897525</v>
      </c>
      <c r="AC265" s="1">
        <f t="shared" si="193"/>
        <v>537760409.793052</v>
      </c>
      <c r="AD265" s="36">
        <f t="shared" si="194"/>
        <v>149377.89160918113</v>
      </c>
      <c r="AE265" s="36">
        <f t="shared" si="186"/>
        <v>6224.078817049213</v>
      </c>
      <c r="AG265" s="1">
        <f t="shared" si="164"/>
        <v>1620000000.0000002</v>
      </c>
      <c r="AH265" s="1">
        <f t="shared" si="195"/>
        <v>1620000</v>
      </c>
      <c r="AI265" s="1">
        <f t="shared" si="196"/>
        <v>1621620000.0000002</v>
      </c>
      <c r="AJ265" s="1">
        <f t="shared" si="197"/>
        <v>107060137438.24033</v>
      </c>
      <c r="AK265" s="1">
        <f t="shared" si="198"/>
        <v>107167197575.67857</v>
      </c>
      <c r="AL265" s="39">
        <f>+AJ265/('Volcano Summary'!C$8)*10^6</f>
        <v>7432.422862757094</v>
      </c>
      <c r="AM265" s="1">
        <f t="shared" si="165"/>
        <v>6224.078817049213</v>
      </c>
    </row>
    <row r="266" spans="1:39" ht="12.75" hidden="1">
      <c r="A266" s="1">
        <f t="shared" si="189"/>
        <v>1507921.106363109</v>
      </c>
      <c r="B266" s="1">
        <f t="shared" si="190"/>
        <v>6241.232214536915</v>
      </c>
      <c r="C266" s="1">
        <f t="shared" si="200"/>
        <v>2840</v>
      </c>
      <c r="D266" s="12">
        <f t="shared" si="166"/>
        <v>60.13318806655657</v>
      </c>
      <c r="E266" s="38">
        <f t="shared" si="158"/>
        <v>634872794.1335076</v>
      </c>
      <c r="F266" s="38">
        <f t="shared" si="159"/>
        <v>408190214.4368635</v>
      </c>
      <c r="G266" s="38">
        <f t="shared" si="160"/>
        <v>181507634.7402194</v>
      </c>
      <c r="H266" s="18">
        <f t="shared" si="167"/>
        <v>0.008314875962448396</v>
      </c>
      <c r="I266" s="50">
        <f t="shared" si="199"/>
        <v>0.036769181578046366</v>
      </c>
      <c r="J266" s="3">
        <f t="shared" si="168"/>
        <v>32.07311840621981</v>
      </c>
      <c r="K266" s="12">
        <f t="shared" si="183"/>
        <v>0.9230972051622949</v>
      </c>
      <c r="L266" s="3">
        <f t="shared" si="169"/>
        <v>1458.566825463555</v>
      </c>
      <c r="M266" s="12">
        <f t="shared" si="184"/>
        <v>0.7623901078561716</v>
      </c>
      <c r="N266" s="37">
        <f t="shared" si="170"/>
        <v>4017.3763411301743</v>
      </c>
      <c r="O266" s="1">
        <f t="shared" si="161"/>
        <v>74031.61199826669</v>
      </c>
      <c r="P266">
        <f t="shared" si="171"/>
        <v>272.0875079790814</v>
      </c>
      <c r="Q266" s="1">
        <f t="shared" si="172"/>
        <v>1093.0779172722291</v>
      </c>
      <c r="R266" s="1">
        <f>+Q266*1000/'Material Properties'!AE$35</f>
        <v>937408.7698575412</v>
      </c>
      <c r="S266" s="1">
        <f t="shared" si="173"/>
        <v>330.0735105132187</v>
      </c>
      <c r="T266" s="1">
        <f t="shared" si="174"/>
        <v>112.16786533570667</v>
      </c>
      <c r="U266">
        <f t="shared" si="162"/>
        <v>7.586505657050828E-05</v>
      </c>
      <c r="V266">
        <f>+'Material Properties'!AE$31+'Material Properties'!AE$33</f>
        <v>0.00029034311030761144</v>
      </c>
      <c r="W266">
        <f t="shared" si="191"/>
        <v>0.00036620816687811975</v>
      </c>
      <c r="X266" s="1">
        <f>+'Volcano Summary'!E$12*10^9/Q266/3600/24/365</f>
        <v>0</v>
      </c>
      <c r="Y266" s="3">
        <f t="shared" si="192"/>
        <v>40</v>
      </c>
      <c r="Z266" s="1">
        <f>+Y266*'Volcano Summary'!B$19*'Volcano Summary'!B$20/1000</f>
        <v>1620000</v>
      </c>
      <c r="AA266" s="1">
        <f t="shared" si="163"/>
        <v>1482053.5429374536</v>
      </c>
      <c r="AB266" s="3">
        <f t="shared" si="188"/>
        <v>411.6815397048482</v>
      </c>
      <c r="AC266" s="1">
        <f t="shared" si="193"/>
        <v>539242463.3359894</v>
      </c>
      <c r="AD266" s="36">
        <f t="shared" si="194"/>
        <v>149789.57314888597</v>
      </c>
      <c r="AE266" s="36">
        <f t="shared" si="186"/>
        <v>6241.232214536915</v>
      </c>
      <c r="AG266" s="1">
        <f t="shared" si="164"/>
        <v>1620000000</v>
      </c>
      <c r="AH266" s="1">
        <f t="shared" si="195"/>
        <v>1620000</v>
      </c>
      <c r="AI266" s="1">
        <f t="shared" si="196"/>
        <v>1621620000</v>
      </c>
      <c r="AJ266" s="1">
        <f t="shared" si="197"/>
        <v>108680137438.24033</v>
      </c>
      <c r="AK266" s="1">
        <f t="shared" si="198"/>
        <v>108788817575.67857</v>
      </c>
      <c r="AL266" s="39">
        <f>+AJ266/('Volcano Summary'!C$8)*10^6</f>
        <v>7544.887925158235</v>
      </c>
      <c r="AM266" s="1">
        <f t="shared" si="165"/>
        <v>6241.232214536915</v>
      </c>
    </row>
    <row r="267" spans="1:39" ht="12.75" hidden="1">
      <c r="A267" s="1">
        <f t="shared" si="189"/>
        <v>1482053.5429374536</v>
      </c>
      <c r="B267" s="1">
        <f t="shared" si="190"/>
        <v>6258.095369812388</v>
      </c>
      <c r="C267" s="1">
        <f t="shared" si="200"/>
        <v>2880</v>
      </c>
      <c r="D267" s="12">
        <f t="shared" si="166"/>
        <v>60.555180528483845</v>
      </c>
      <c r="E267" s="38">
        <f t="shared" si="158"/>
        <v>639328096.4718854</v>
      </c>
      <c r="F267" s="38">
        <f t="shared" si="159"/>
        <v>411054742.3134528</v>
      </c>
      <c r="G267" s="38">
        <f t="shared" si="160"/>
        <v>182781388.15502003</v>
      </c>
      <c r="H267" s="18">
        <f t="shared" si="167"/>
        <v>0.008256931870012522</v>
      </c>
      <c r="I267" s="50">
        <f t="shared" si="199"/>
        <v>0.036715575720437224</v>
      </c>
      <c r="J267" s="3">
        <f t="shared" si="168"/>
        <v>31.815800729193608</v>
      </c>
      <c r="K267" s="12">
        <f t="shared" si="183"/>
        <v>0.9213474449585167</v>
      </c>
      <c r="L267" s="3">
        <f t="shared" si="169"/>
        <v>1455.8020655103512</v>
      </c>
      <c r="M267" s="12">
        <f t="shared" si="184"/>
        <v>0.7617210818959034</v>
      </c>
      <c r="N267" s="37">
        <f t="shared" si="170"/>
        <v>4073.9591064982064</v>
      </c>
      <c r="O267" s="1">
        <f t="shared" si="161"/>
        <v>74488.895624589</v>
      </c>
      <c r="P267">
        <f t="shared" si="171"/>
        <v>272.92653887921745</v>
      </c>
      <c r="Q267" s="1">
        <f t="shared" si="172"/>
        <v>1111.8915584720248</v>
      </c>
      <c r="R267" s="1">
        <f>+Q267*1000/'Material Properties'!AE$35</f>
        <v>953543.0929235969</v>
      </c>
      <c r="S267" s="1">
        <f t="shared" si="173"/>
        <v>331.0913517095822</v>
      </c>
      <c r="T267" s="1">
        <f t="shared" si="174"/>
        <v>114.5025520870579</v>
      </c>
      <c r="U267">
        <f t="shared" si="162"/>
        <v>7.433024525773888E-05</v>
      </c>
      <c r="V267">
        <f>+'Material Properties'!AE$31+'Material Properties'!AE$33</f>
        <v>0.00029034311030761144</v>
      </c>
      <c r="W267">
        <f t="shared" si="191"/>
        <v>0.0003646733555653503</v>
      </c>
      <c r="X267" s="1">
        <f>+'Volcano Summary'!E$12*10^9/Q267/3600/24/365</f>
        <v>0</v>
      </c>
      <c r="Y267" s="3">
        <f t="shared" si="192"/>
        <v>40</v>
      </c>
      <c r="Z267" s="1">
        <f>+Y267*'Volcano Summary'!B$19*'Volcano Summary'!B$20/1000</f>
        <v>1620000</v>
      </c>
      <c r="AA267" s="1">
        <f t="shared" si="163"/>
        <v>1456976.6158007567</v>
      </c>
      <c r="AB267" s="3">
        <f t="shared" si="188"/>
        <v>404.7157266113213</v>
      </c>
      <c r="AC267" s="1">
        <f t="shared" si="193"/>
        <v>540699439.9517901</v>
      </c>
      <c r="AD267" s="36">
        <f t="shared" si="194"/>
        <v>150194.2888754973</v>
      </c>
      <c r="AE267" s="36">
        <f t="shared" si="186"/>
        <v>6258.095369812388</v>
      </c>
      <c r="AG267" s="1">
        <f t="shared" si="164"/>
        <v>1620000000</v>
      </c>
      <c r="AH267" s="1">
        <f t="shared" si="195"/>
        <v>1620000</v>
      </c>
      <c r="AI267" s="1">
        <f t="shared" si="196"/>
        <v>1621620000</v>
      </c>
      <c r="AJ267" s="1">
        <f t="shared" si="197"/>
        <v>110300137438.24033</v>
      </c>
      <c r="AK267" s="1">
        <f t="shared" si="198"/>
        <v>110410437575.67857</v>
      </c>
      <c r="AL267" s="39">
        <f>+AJ267/('Volcano Summary'!C$8)*10^6</f>
        <v>7657.352987559377</v>
      </c>
      <c r="AM267" s="1">
        <f t="shared" si="165"/>
        <v>6258.095369812388</v>
      </c>
    </row>
    <row r="268" spans="1:39" ht="12.75" hidden="1">
      <c r="A268" s="1">
        <f t="shared" si="189"/>
        <v>1456976.6158007567</v>
      </c>
      <c r="B268" s="1">
        <f t="shared" si="190"/>
        <v>6274.6770344971455</v>
      </c>
      <c r="C268" s="1">
        <f t="shared" si="200"/>
        <v>2920</v>
      </c>
      <c r="D268" s="12">
        <f t="shared" si="166"/>
        <v>60.97425252208243</v>
      </c>
      <c r="E268" s="38">
        <f t="shared" si="158"/>
        <v>643752565.1567082</v>
      </c>
      <c r="F268" s="38">
        <f t="shared" si="159"/>
        <v>413899445.7531266</v>
      </c>
      <c r="G268" s="38">
        <f t="shared" si="160"/>
        <v>184046326.3495451</v>
      </c>
      <c r="H268" s="18">
        <f t="shared" si="167"/>
        <v>0.00820018252489311</v>
      </c>
      <c r="I268" s="50">
        <f t="shared" si="199"/>
        <v>0.03666286214283304</v>
      </c>
      <c r="J268" s="3">
        <f t="shared" si="168"/>
        <v>31.564216145622467</v>
      </c>
      <c r="K268" s="12">
        <f t="shared" si="183"/>
        <v>0.919636669790233</v>
      </c>
      <c r="L268" s="3">
        <f t="shared" si="169"/>
        <v>1453.0989050064184</v>
      </c>
      <c r="M268" s="12">
        <f t="shared" si="184"/>
        <v>0.7610669619786185</v>
      </c>
      <c r="N268" s="37">
        <f t="shared" si="170"/>
        <v>4130.541871866237</v>
      </c>
      <c r="O268" s="1">
        <f t="shared" si="161"/>
        <v>74943.1992819791</v>
      </c>
      <c r="P268">
        <f t="shared" si="171"/>
        <v>273.7575556619015</v>
      </c>
      <c r="Q268" s="1">
        <f t="shared" si="172"/>
        <v>1130.7670464012363</v>
      </c>
      <c r="R268" s="1">
        <f>+Q268*1000/'Material Properties'!AE$35</f>
        <v>969730.4549044686</v>
      </c>
      <c r="S268" s="1">
        <f t="shared" si="173"/>
        <v>332.0994708576947</v>
      </c>
      <c r="T268" s="1">
        <f t="shared" si="174"/>
        <v>116.77586713048163</v>
      </c>
      <c r="U268">
        <f t="shared" si="162"/>
        <v>7.289430032827914E-05</v>
      </c>
      <c r="V268">
        <f>+'Material Properties'!AE$31+'Material Properties'!AE$33</f>
        <v>0.00029034311030761144</v>
      </c>
      <c r="W268">
        <f t="shared" si="191"/>
        <v>0.0003632374106358906</v>
      </c>
      <c r="X268" s="1">
        <f>+'Volcano Summary'!E$12*10^9/Q268/3600/24/365</f>
        <v>0</v>
      </c>
      <c r="Y268" s="3">
        <f t="shared" si="192"/>
        <v>40</v>
      </c>
      <c r="Z268" s="1">
        <f>+Y268*'Volcano Summary'!B$19*'Volcano Summary'!B$20/1000</f>
        <v>1620000</v>
      </c>
      <c r="AA268" s="1">
        <f t="shared" si="163"/>
        <v>1432655.8287631301</v>
      </c>
      <c r="AB268" s="3">
        <f t="shared" si="188"/>
        <v>397.9599524342028</v>
      </c>
      <c r="AC268" s="1">
        <f t="shared" si="193"/>
        <v>542132095.7805532</v>
      </c>
      <c r="AD268" s="36">
        <f t="shared" si="194"/>
        <v>150592.2488279315</v>
      </c>
      <c r="AE268" s="36">
        <f t="shared" si="186"/>
        <v>6274.6770344971455</v>
      </c>
      <c r="AG268" s="1">
        <f t="shared" si="164"/>
        <v>1620000000</v>
      </c>
      <c r="AH268" s="1">
        <f t="shared" si="195"/>
        <v>1620000</v>
      </c>
      <c r="AI268" s="1">
        <f t="shared" si="196"/>
        <v>1621620000</v>
      </c>
      <c r="AJ268" s="1">
        <f t="shared" si="197"/>
        <v>111920137438.24033</v>
      </c>
      <c r="AK268" s="1">
        <f t="shared" si="198"/>
        <v>112032057575.67857</v>
      </c>
      <c r="AL268" s="39">
        <f>+AJ268/('Volcano Summary'!C$8)*10^6</f>
        <v>7769.818049960518</v>
      </c>
      <c r="AM268" s="1">
        <f t="shared" si="165"/>
        <v>6274.6770344971455</v>
      </c>
    </row>
    <row r="269" spans="1:39" ht="12.75" hidden="1">
      <c r="A269" s="1">
        <f t="shared" si="189"/>
        <v>1432655.8287631301</v>
      </c>
      <c r="B269" s="1">
        <f t="shared" si="190"/>
        <v>6290.985583460947</v>
      </c>
      <c r="C269" s="1">
        <f t="shared" si="200"/>
        <v>2960</v>
      </c>
      <c r="D269" s="12">
        <f t="shared" si="166"/>
        <v>61.39046385568431</v>
      </c>
      <c r="E269" s="38">
        <f t="shared" si="158"/>
        <v>648146831.6310118</v>
      </c>
      <c r="F269" s="38">
        <f t="shared" si="159"/>
        <v>416724730.7409434</v>
      </c>
      <c r="G269" s="38">
        <f t="shared" si="160"/>
        <v>185302629.8508751</v>
      </c>
      <c r="H269" s="18">
        <f t="shared" si="167"/>
        <v>0.008144587426076332</v>
      </c>
      <c r="I269" s="50">
        <f t="shared" si="199"/>
        <v>0.036611013858881096</v>
      </c>
      <c r="J269" s="3">
        <f t="shared" si="168"/>
        <v>31.318160313094932</v>
      </c>
      <c r="K269" s="12">
        <f t="shared" si="183"/>
        <v>0.9179634901290457</v>
      </c>
      <c r="L269" s="3">
        <f t="shared" si="169"/>
        <v>1450.4551483866385</v>
      </c>
      <c r="M269" s="12">
        <f t="shared" si="184"/>
        <v>0.7604272168140468</v>
      </c>
      <c r="N269" s="37">
        <f t="shared" si="170"/>
        <v>4187.1246372342675</v>
      </c>
      <c r="O269" s="1">
        <f t="shared" si="161"/>
        <v>75394.57946365846</v>
      </c>
      <c r="P269">
        <f t="shared" si="171"/>
        <v>274.5807339629976</v>
      </c>
      <c r="Q269" s="1">
        <f t="shared" si="172"/>
        <v>1149.7037560863353</v>
      </c>
      <c r="R269" s="1">
        <f>+Q269*1000/'Material Properties'!AE$35</f>
        <v>985970.3198313504</v>
      </c>
      <c r="S269" s="1">
        <f t="shared" si="173"/>
        <v>333.09808102410483</v>
      </c>
      <c r="T269" s="1">
        <f t="shared" si="174"/>
        <v>118.9902780979969</v>
      </c>
      <c r="U269">
        <f t="shared" si="162"/>
        <v>7.154791978202372E-05</v>
      </c>
      <c r="V269">
        <f>+'Material Properties'!AE$31+'Material Properties'!AE$33</f>
        <v>0.00029034311030761144</v>
      </c>
      <c r="W269">
        <f t="shared" si="191"/>
        <v>0.00036189103008963514</v>
      </c>
      <c r="X269" s="1">
        <f>+'Volcano Summary'!E$12*10^9/Q269/3600/24/365</f>
        <v>0</v>
      </c>
      <c r="Y269" s="3">
        <f t="shared" si="192"/>
        <v>40</v>
      </c>
      <c r="Z269" s="1">
        <f>+Y269*'Volcano Summary'!B$19*'Volcano Summary'!B$20/1000</f>
        <v>1620000</v>
      </c>
      <c r="AA269" s="1">
        <f t="shared" si="163"/>
        <v>1409058.6304724123</v>
      </c>
      <c r="AB269" s="3">
        <f t="shared" si="188"/>
        <v>391.40517513122563</v>
      </c>
      <c r="AC269" s="1">
        <f t="shared" si="193"/>
        <v>543541154.4110256</v>
      </c>
      <c r="AD269" s="36">
        <f t="shared" si="194"/>
        <v>150983.65400306272</v>
      </c>
      <c r="AE269" s="36">
        <f t="shared" si="186"/>
        <v>6290.985583460947</v>
      </c>
      <c r="AG269" s="1">
        <f t="shared" si="164"/>
        <v>1620000000</v>
      </c>
      <c r="AH269" s="1">
        <f t="shared" si="195"/>
        <v>1620000</v>
      </c>
      <c r="AI269" s="1">
        <f t="shared" si="196"/>
        <v>1621620000</v>
      </c>
      <c r="AJ269" s="1">
        <f t="shared" si="197"/>
        <v>113540137438.24033</v>
      </c>
      <c r="AK269" s="1">
        <f t="shared" si="198"/>
        <v>113653677575.67857</v>
      </c>
      <c r="AL269" s="39">
        <f>+AJ269/('Volcano Summary'!C$8)*10^6</f>
        <v>7882.283112361661</v>
      </c>
      <c r="AM269" s="1">
        <f t="shared" si="165"/>
        <v>6290.985583460947</v>
      </c>
    </row>
    <row r="270" spans="1:39" ht="12.75" hidden="1">
      <c r="A270" s="1">
        <f t="shared" si="189"/>
        <v>1409058.6304724123</v>
      </c>
      <c r="B270" s="1">
        <f t="shared" si="190"/>
        <v>6307.029035782533</v>
      </c>
      <c r="C270" s="1">
        <f t="shared" si="200"/>
        <v>3000</v>
      </c>
      <c r="D270" s="12">
        <f t="shared" si="166"/>
        <v>61.80387232371034</v>
      </c>
      <c r="E270" s="38">
        <f aca="true" t="shared" si="201" ref="E270:E333">+$D270*1000*A$7*$F$11/$F$10</f>
        <v>652511506.0754074</v>
      </c>
      <c r="F270" s="38">
        <f aca="true" t="shared" si="202" ref="F270:F333">+$D270*1000*C$7*$F$11/$F$10</f>
        <v>419530989.5913271</v>
      </c>
      <c r="G270" s="38">
        <f aca="true" t="shared" si="203" ref="G270:G333">+$D270*1000*D$7*$F$11/$F$10</f>
        <v>186550473.1072468</v>
      </c>
      <c r="H270" s="18">
        <f t="shared" si="167"/>
        <v>0.00809010796898208</v>
      </c>
      <c r="I270" s="50">
        <f t="shared" si="199"/>
        <v>0.03656000505310901</v>
      </c>
      <c r="J270" s="3">
        <f t="shared" si="168"/>
        <v>31.07743882261823</v>
      </c>
      <c r="K270" s="12">
        <f t="shared" si="183"/>
        <v>0.9163265839938042</v>
      </c>
      <c r="L270" s="3">
        <f t="shared" si="169"/>
        <v>1447.8687068159036</v>
      </c>
      <c r="M270" s="12">
        <f t="shared" si="184"/>
        <v>0.7598013409388074</v>
      </c>
      <c r="N270" s="37">
        <f t="shared" si="170"/>
        <v>4243.707402602298</v>
      </c>
      <c r="O270" s="1">
        <f aca="true" t="shared" si="204" ref="O270:O333">+L270/J270/P$9</f>
        <v>75843.09085234832</v>
      </c>
      <c r="P270">
        <f t="shared" si="171"/>
        <v>275.39624335191706</v>
      </c>
      <c r="Q270" s="1">
        <f t="shared" si="172"/>
        <v>1168.7010765613943</v>
      </c>
      <c r="R270" s="1">
        <f>+Q270*1000/'Material Properties'!AE$35</f>
        <v>1002262.1637481637</v>
      </c>
      <c r="S270" s="1">
        <f t="shared" si="173"/>
        <v>334.0873879160546</v>
      </c>
      <c r="T270" s="1">
        <f t="shared" si="174"/>
        <v>121.14812062775991</v>
      </c>
      <c r="U270">
        <f aca="true" t="shared" si="205" ref="U270:U333">+I$3*0.1*0.9/(T270+0.9)</f>
        <v>7.028293394342486E-05</v>
      </c>
      <c r="V270">
        <f>+'Material Properties'!AE$31+'Material Properties'!AE$33</f>
        <v>0.00029034311030761144</v>
      </c>
      <c r="W270">
        <f t="shared" si="191"/>
        <v>0.0003606260442510363</v>
      </c>
      <c r="X270" s="1">
        <f>+'Volcano Summary'!E$12*10^9/Q270/3600/24/365</f>
        <v>0</v>
      </c>
      <c r="Y270" s="3">
        <f t="shared" si="192"/>
        <v>40</v>
      </c>
      <c r="Z270" s="1">
        <f>+Y270*'Volcano Summary'!B$19*'Volcano Summary'!B$20/1000</f>
        <v>1620000</v>
      </c>
      <c r="AA270" s="1">
        <f aca="true" t="shared" si="206" ref="AA270:AA333">Z270/(AA$12/100*Q270)</f>
        <v>1386154.2805851074</v>
      </c>
      <c r="AB270" s="3">
        <f t="shared" si="188"/>
        <v>385.0428557180854</v>
      </c>
      <c r="AC270" s="1">
        <f t="shared" si="193"/>
        <v>544927308.6916107</v>
      </c>
      <c r="AD270" s="36">
        <f t="shared" si="194"/>
        <v>151368.6968587808</v>
      </c>
      <c r="AE270" s="36">
        <f t="shared" si="186"/>
        <v>6307.029035782533</v>
      </c>
      <c r="AG270" s="1">
        <f aca="true" t="shared" si="207" ref="AG270:AG333">+AA270*Q270</f>
        <v>1620000000</v>
      </c>
      <c r="AH270" s="1">
        <f t="shared" si="195"/>
        <v>1620000</v>
      </c>
      <c r="AI270" s="1">
        <f t="shared" si="196"/>
        <v>1621620000</v>
      </c>
      <c r="AJ270" s="1">
        <f t="shared" si="197"/>
        <v>115160137438.24033</v>
      </c>
      <c r="AK270" s="1">
        <f t="shared" si="198"/>
        <v>115275297575.67857</v>
      </c>
      <c r="AL270" s="39">
        <f>+AJ270/('Volcano Summary'!C$8)*10^6</f>
        <v>7994.748174762801</v>
      </c>
      <c r="AM270" s="1">
        <f aca="true" t="shared" si="208" ref="AM270:AM333">+B270</f>
        <v>6307.029035782533</v>
      </c>
    </row>
    <row r="271" spans="1:39" ht="12.75" hidden="1">
      <c r="A271" s="1">
        <f t="shared" si="189"/>
        <v>1386154.2805851074</v>
      </c>
      <c r="B271" s="1">
        <f t="shared" si="190"/>
        <v>6322.701669729316</v>
      </c>
      <c r="C271" s="1">
        <f t="shared" si="200"/>
        <v>3040</v>
      </c>
      <c r="D271" s="12">
        <f aca="true" t="shared" si="209" ref="D271:D334">2*SQRT(C271/PI())</f>
        <v>62.21453380035002</v>
      </c>
      <c r="E271" s="38">
        <f t="shared" si="201"/>
        <v>656847178.397132</v>
      </c>
      <c r="F271" s="38">
        <f t="shared" si="202"/>
        <v>422318601.5839753</v>
      </c>
      <c r="G271" s="38">
        <f t="shared" si="203"/>
        <v>187790024.77081883</v>
      </c>
      <c r="H271" s="18">
        <f aca="true" t="shared" si="210" ref="H271:H334">+(H$13/1000)/D271</f>
        <v>0.008036707332799896</v>
      </c>
      <c r="I271" s="50">
        <v>0.0358</v>
      </c>
      <c r="J271" s="3">
        <f aca="true" t="shared" si="211" ref="J271:J334">+J$13*I271/D271+1.5</f>
        <v>30.27141225142363</v>
      </c>
      <c r="K271" s="12">
        <f t="shared" si="183"/>
        <v>0.9108456033096808</v>
      </c>
      <c r="L271" s="3">
        <f aca="true" t="shared" si="212" ref="L271:L334">+L$10*K271</f>
        <v>1439.208322457505</v>
      </c>
      <c r="M271" s="12">
        <f t="shared" si="184"/>
        <v>0.7577056718537014</v>
      </c>
      <c r="N271" s="37">
        <f aca="true" t="shared" si="213" ref="N271:N334">1.111*10^-6*(D271*1000)^2</f>
        <v>4300.290167970329</v>
      </c>
      <c r="O271" s="1">
        <f t="shared" si="204"/>
        <v>77396.80646784828</v>
      </c>
      <c r="P271">
        <f aca="true" t="shared" si="214" ref="P271:P334">+SQRT(O271)</f>
        <v>278.20281534853</v>
      </c>
      <c r="Q271" s="1">
        <f aca="true" t="shared" si="215" ref="Q271:Q334">+P271*N271/1000</f>
        <v>1196.3528315449485</v>
      </c>
      <c r="R271" s="1">
        <f>+Q271*1000/'Material Properties'!AE$35</f>
        <v>1025975.9331089256</v>
      </c>
      <c r="S271" s="1">
        <f aca="true" t="shared" si="216" ref="S271:S334">+R271/C271</f>
        <v>337.49208325951497</v>
      </c>
      <c r="T271" s="1">
        <f aca="true" t="shared" si="217" ref="T271:T334">+L271-L271*K271</f>
        <v>128.31174970038523</v>
      </c>
      <c r="U271">
        <f t="shared" si="205"/>
        <v>6.638637755382415E-05</v>
      </c>
      <c r="V271">
        <f>+'Material Properties'!AE$31+'Material Properties'!AE$33</f>
        <v>0.00029034311030761144</v>
      </c>
      <c r="W271">
        <f t="shared" si="191"/>
        <v>0.00035672948786143557</v>
      </c>
      <c r="X271" s="1">
        <f>+'Volcano Summary'!E$12*10^9/Q271/3600/24/365</f>
        <v>0</v>
      </c>
      <c r="Y271" s="3">
        <f t="shared" si="192"/>
        <v>40</v>
      </c>
      <c r="Z271" s="1">
        <f>+Y271*'Volcano Summary'!B$19*'Volcano Summary'!B$20/1000</f>
        <v>1620000</v>
      </c>
      <c r="AA271" s="1">
        <f t="shared" si="206"/>
        <v>1354115.5730019556</v>
      </c>
      <c r="AB271" s="3">
        <f t="shared" si="188"/>
        <v>376.14321472276544</v>
      </c>
      <c r="AC271" s="1">
        <f t="shared" si="193"/>
        <v>546281424.2646127</v>
      </c>
      <c r="AD271" s="36">
        <f t="shared" si="194"/>
        <v>151744.84007350358</v>
      </c>
      <c r="AE271" s="36">
        <f t="shared" si="186"/>
        <v>6322.701669729316</v>
      </c>
      <c r="AG271" s="1">
        <f t="shared" si="207"/>
        <v>1620000000</v>
      </c>
      <c r="AH271" s="1">
        <f t="shared" si="195"/>
        <v>1620000</v>
      </c>
      <c r="AI271" s="1">
        <f t="shared" si="196"/>
        <v>1621620000</v>
      </c>
      <c r="AJ271" s="1">
        <f t="shared" si="197"/>
        <v>116780137438.24033</v>
      </c>
      <c r="AK271" s="1">
        <f t="shared" si="198"/>
        <v>116896917575.67857</v>
      </c>
      <c r="AL271" s="39">
        <f>+AJ271/('Volcano Summary'!C$8)*10^6</f>
        <v>8107.213237163944</v>
      </c>
      <c r="AM271" s="1">
        <f t="shared" si="208"/>
        <v>6322.701669729316</v>
      </c>
    </row>
    <row r="272" spans="1:39" ht="12.75" hidden="1">
      <c r="A272" s="1">
        <f t="shared" si="189"/>
        <v>1354115.5730019556</v>
      </c>
      <c r="B272" s="1">
        <f t="shared" si="190"/>
        <v>6338.125904774856</v>
      </c>
      <c r="C272" s="1">
        <f t="shared" si="200"/>
        <v>3080</v>
      </c>
      <c r="D272" s="12">
        <f t="shared" si="209"/>
        <v>62.62250232771205</v>
      </c>
      <c r="E272" s="38">
        <f t="shared" si="201"/>
        <v>661154419.1607213</v>
      </c>
      <c r="F272" s="38">
        <f t="shared" si="202"/>
        <v>425087933.56223476</v>
      </c>
      <c r="G272" s="38">
        <f t="shared" si="203"/>
        <v>189021447.96374807</v>
      </c>
      <c r="H272" s="18">
        <f t="shared" si="210"/>
        <v>0.007984350375898942</v>
      </c>
      <c r="I272" s="50">
        <f>+I$271*LN(H$271)/LN(H272)</f>
        <v>0.03575155753816294</v>
      </c>
      <c r="J272" s="3">
        <f t="shared" si="211"/>
        <v>30.04529618688039</v>
      </c>
      <c r="K272" s="12">
        <f t="shared" si="183"/>
        <v>0.9093080140707868</v>
      </c>
      <c r="L272" s="3">
        <f t="shared" si="212"/>
        <v>1436.7788094631</v>
      </c>
      <c r="M272" s="12">
        <f t="shared" si="184"/>
        <v>0.757117770085889</v>
      </c>
      <c r="N272" s="37">
        <f t="shared" si="213"/>
        <v>4356.872933338358</v>
      </c>
      <c r="O272" s="1">
        <f t="shared" si="204"/>
        <v>77847.64634258539</v>
      </c>
      <c r="P272">
        <f t="shared" si="214"/>
        <v>279.0119107539773</v>
      </c>
      <c r="Q272" s="1">
        <f t="shared" si="215"/>
        <v>1215.6194420430213</v>
      </c>
      <c r="R272" s="1">
        <f>+Q272*1000/'Material Properties'!AE$35</f>
        <v>1042498.7164905469</v>
      </c>
      <c r="S272" s="1">
        <f t="shared" si="216"/>
        <v>338.47360925017756</v>
      </c>
      <c r="T272" s="1">
        <f t="shared" si="217"/>
        <v>130.30432357121913</v>
      </c>
      <c r="U272">
        <f t="shared" si="205"/>
        <v>6.537818089008188E-05</v>
      </c>
      <c r="V272">
        <f>+'Material Properties'!AE$31+'Material Properties'!AE$33</f>
        <v>0.00029034311030761144</v>
      </c>
      <c r="W272">
        <f t="shared" si="191"/>
        <v>0.0003557212911976933</v>
      </c>
      <c r="X272" s="1">
        <f>+'Volcano Summary'!E$12*10^9/Q272/3600/24/365</f>
        <v>0</v>
      </c>
      <c r="Y272" s="3">
        <f t="shared" si="192"/>
        <v>40</v>
      </c>
      <c r="Z272" s="1">
        <f>+Y272*'Volcano Summary'!B$19*'Volcano Summary'!B$20/1000</f>
        <v>1620000</v>
      </c>
      <c r="AA272" s="1">
        <f t="shared" si="206"/>
        <v>1332653.9079346738</v>
      </c>
      <c r="AB272" s="3">
        <f t="shared" si="188"/>
        <v>370.181641092965</v>
      </c>
      <c r="AC272" s="1">
        <f t="shared" si="193"/>
        <v>547614078.1725473</v>
      </c>
      <c r="AD272" s="36">
        <f t="shared" si="194"/>
        <v>152115.02171459654</v>
      </c>
      <c r="AE272" s="36">
        <f t="shared" si="186"/>
        <v>6338.125904774856</v>
      </c>
      <c r="AG272" s="1">
        <f t="shared" si="207"/>
        <v>1620000000</v>
      </c>
      <c r="AH272" s="1">
        <f t="shared" si="195"/>
        <v>1620000</v>
      </c>
      <c r="AI272" s="1">
        <f t="shared" si="196"/>
        <v>1621620000</v>
      </c>
      <c r="AJ272" s="1">
        <f t="shared" si="197"/>
        <v>118400137438.24033</v>
      </c>
      <c r="AK272" s="1">
        <f t="shared" si="198"/>
        <v>118518537575.67857</v>
      </c>
      <c r="AL272" s="39">
        <f>+AJ272/('Volcano Summary'!C$8)*10^6</f>
        <v>8219.678299565085</v>
      </c>
      <c r="AM272" s="1">
        <f t="shared" si="208"/>
        <v>6338.125904774856</v>
      </c>
    </row>
    <row r="273" spans="1:39" ht="12.75" hidden="1">
      <c r="A273" s="1">
        <f t="shared" si="189"/>
        <v>1332653.9079346738</v>
      </c>
      <c r="B273" s="1">
        <f t="shared" si="190"/>
        <v>6353.308761691219</v>
      </c>
      <c r="C273" s="1">
        <f t="shared" si="200"/>
        <v>3120</v>
      </c>
      <c r="D273" s="12">
        <f t="shared" si="209"/>
        <v>63.027830198839204</v>
      </c>
      <c r="E273" s="38">
        <f t="shared" si="201"/>
        <v>665433780.4644637</v>
      </c>
      <c r="F273" s="38">
        <f t="shared" si="202"/>
        <v>427839340.49661356</v>
      </c>
      <c r="G273" s="38">
        <f t="shared" si="203"/>
        <v>190244900.5287634</v>
      </c>
      <c r="H273" s="18">
        <f t="shared" si="210"/>
        <v>0.007933003538636947</v>
      </c>
      <c r="I273" s="50">
        <f aca="true" t="shared" si="218" ref="I273:I294">+I$271*LN(H$271)/LN(H273)</f>
        <v>0.03570386855874946</v>
      </c>
      <c r="J273" s="3">
        <f t="shared" si="211"/>
        <v>29.823891561958792</v>
      </c>
      <c r="K273" s="12">
        <f t="shared" si="183"/>
        <v>0.9078024626213199</v>
      </c>
      <c r="L273" s="3">
        <f t="shared" si="212"/>
        <v>1434.3999187179647</v>
      </c>
      <c r="M273" s="12">
        <f t="shared" si="184"/>
        <v>0.7565421180610928</v>
      </c>
      <c r="N273" s="37">
        <f t="shared" si="213"/>
        <v>4413.455698706389</v>
      </c>
      <c r="O273" s="1">
        <f t="shared" si="204"/>
        <v>78295.7164402541</v>
      </c>
      <c r="P273">
        <f t="shared" si="214"/>
        <v>279.8137173911495</v>
      </c>
      <c r="Q273" s="1">
        <f t="shared" si="215"/>
        <v>1234.945445596188</v>
      </c>
      <c r="R273" s="1">
        <f>+Q273*1000/'Material Properties'!AE$35</f>
        <v>1059072.4345492243</v>
      </c>
      <c r="S273" s="1">
        <f t="shared" si="216"/>
        <v>339.4462931247514</v>
      </c>
      <c r="T273" s="1">
        <f t="shared" si="217"/>
        <v>132.2481401219752</v>
      </c>
      <c r="U273">
        <f t="shared" si="205"/>
        <v>6.442373128262926E-05</v>
      </c>
      <c r="V273">
        <f>+'Material Properties'!AE$31+'Material Properties'!AE$33</f>
        <v>0.00029034311030761144</v>
      </c>
      <c r="W273">
        <f t="shared" si="191"/>
        <v>0.0003547668415902407</v>
      </c>
      <c r="X273" s="1">
        <f>+'Volcano Summary'!E$12*10^9/Q273/3600/24/365</f>
        <v>0</v>
      </c>
      <c r="Y273" s="3">
        <f t="shared" si="192"/>
        <v>40</v>
      </c>
      <c r="Z273" s="1">
        <f>+Y273*'Volcano Summary'!B$19*'Volcano Summary'!B$20/1000</f>
        <v>1620000</v>
      </c>
      <c r="AA273" s="1">
        <f t="shared" si="206"/>
        <v>1311798.8375736885</v>
      </c>
      <c r="AB273" s="3">
        <f t="shared" si="188"/>
        <v>364.38856599269127</v>
      </c>
      <c r="AC273" s="1">
        <f t="shared" si="193"/>
        <v>548925877.010121</v>
      </c>
      <c r="AD273" s="36">
        <f t="shared" si="194"/>
        <v>152479.41028058925</v>
      </c>
      <c r="AE273" s="36">
        <f t="shared" si="186"/>
        <v>6353.308761691219</v>
      </c>
      <c r="AG273" s="1">
        <f t="shared" si="207"/>
        <v>1620000000</v>
      </c>
      <c r="AH273" s="1">
        <f t="shared" si="195"/>
        <v>1620000</v>
      </c>
      <c r="AI273" s="1">
        <f t="shared" si="196"/>
        <v>1621620000</v>
      </c>
      <c r="AJ273" s="1">
        <f t="shared" si="197"/>
        <v>120020137438.24033</v>
      </c>
      <c r="AK273" s="1">
        <f t="shared" si="198"/>
        <v>120140157575.67857</v>
      </c>
      <c r="AL273" s="39">
        <f>+AJ273/('Volcano Summary'!C$8)*10^6</f>
        <v>8332.143361966226</v>
      </c>
      <c r="AM273" s="1">
        <f t="shared" si="208"/>
        <v>6353.308761691219</v>
      </c>
    </row>
    <row r="274" spans="1:39" ht="12.75" hidden="1">
      <c r="A274" s="1">
        <f t="shared" si="189"/>
        <v>1311798.8375736885</v>
      </c>
      <c r="B274" s="1">
        <f t="shared" si="190"/>
        <v>6367.550471756295</v>
      </c>
      <c r="C274" s="1">
        <f t="shared" si="200"/>
        <v>3160</v>
      </c>
      <c r="D274" s="12">
        <f t="shared" si="209"/>
        <v>63.43056803594868</v>
      </c>
      <c r="E274" s="38">
        <f t="shared" si="201"/>
        <v>669685796.7664429</v>
      </c>
      <c r="F274" s="38">
        <f t="shared" si="202"/>
        <v>430573166.0158859</v>
      </c>
      <c r="G274" s="38">
        <f t="shared" si="203"/>
        <v>191460535.2653289</v>
      </c>
      <c r="H274" s="18">
        <f t="shared" si="210"/>
        <v>0.007882634752957434</v>
      </c>
      <c r="I274" s="50">
        <f t="shared" si="218"/>
        <v>0.03565691173846846</v>
      </c>
      <c r="J274" s="3">
        <f t="shared" si="211"/>
        <v>29.607041165278734</v>
      </c>
      <c r="K274" s="12">
        <f>0.773-(10-J274)/2*(0.773-0.75)</f>
        <v>0.9984809734007056</v>
      </c>
      <c r="L274" s="3">
        <f t="shared" si="212"/>
        <v>1577.679160455023</v>
      </c>
      <c r="M274" s="12">
        <f>0.705-(10-J274)/2*(0.705-0.698)</f>
        <v>0.7736246440784755</v>
      </c>
      <c r="N274" s="37">
        <f t="shared" si="213"/>
        <v>4470.0384640744205</v>
      </c>
      <c r="O274" s="1">
        <f t="shared" si="204"/>
        <v>86747.25550830098</v>
      </c>
      <c r="P274">
        <f t="shared" si="214"/>
        <v>294.52887041561985</v>
      </c>
      <c r="Q274" s="1">
        <f t="shared" si="215"/>
        <v>1316.5553795382114</v>
      </c>
      <c r="R274" s="1">
        <f>+Q274*1000/'Material Properties'!AE$35</f>
        <v>1129060.005037939</v>
      </c>
      <c r="S274" s="1">
        <f t="shared" si="216"/>
        <v>357.2974699487149</v>
      </c>
      <c r="T274" s="1">
        <f t="shared" si="217"/>
        <v>2.3965366098836967</v>
      </c>
      <c r="U274">
        <f t="shared" si="205"/>
        <v>0.0026020945662431553</v>
      </c>
      <c r="V274">
        <f>+'Material Properties'!AE$31+'Material Properties'!AE$33</f>
        <v>0.00029034311030761144</v>
      </c>
      <c r="W274">
        <f t="shared" si="191"/>
        <v>0.0028924376765507667</v>
      </c>
      <c r="X274" s="1">
        <f>+'Volcano Summary'!E$12*10^9/Q274/3600/24/365</f>
        <v>0</v>
      </c>
      <c r="Y274" s="3">
        <f t="shared" si="192"/>
        <v>40</v>
      </c>
      <c r="Z274" s="1">
        <f>+Y274*'Volcano Summary'!B$19*'Volcano Summary'!B$20/1000</f>
        <v>1620000</v>
      </c>
      <c r="AA274" s="1">
        <f t="shared" si="206"/>
        <v>1230483.7496226125</v>
      </c>
      <c r="AB274" s="3">
        <f t="shared" si="188"/>
        <v>341.8010415618368</v>
      </c>
      <c r="AC274" s="1">
        <f t="shared" si="193"/>
        <v>550156360.7597436</v>
      </c>
      <c r="AD274" s="36">
        <f t="shared" si="194"/>
        <v>152821.2113221511</v>
      </c>
      <c r="AE274" s="36">
        <f t="shared" si="186"/>
        <v>6367.550471756295</v>
      </c>
      <c r="AG274" s="1">
        <f t="shared" si="207"/>
        <v>1620000000</v>
      </c>
      <c r="AH274" s="1">
        <f t="shared" si="195"/>
        <v>1620000</v>
      </c>
      <c r="AI274" s="1">
        <f t="shared" si="196"/>
        <v>1621620000</v>
      </c>
      <c r="AJ274" s="1">
        <f t="shared" si="197"/>
        <v>121640137438.24033</v>
      </c>
      <c r="AK274" s="1">
        <f t="shared" si="198"/>
        <v>121761777575.67857</v>
      </c>
      <c r="AL274" s="39">
        <f>+AJ274/('Volcano Summary'!C$8)*10^6</f>
        <v>8444.608424367367</v>
      </c>
      <c r="AM274" s="1">
        <f t="shared" si="208"/>
        <v>6367.550471756295</v>
      </c>
    </row>
    <row r="275" spans="1:39" ht="12.75" hidden="1">
      <c r="A275" s="1">
        <f t="shared" si="189"/>
        <v>1230483.7496226125</v>
      </c>
      <c r="B275" s="1">
        <f t="shared" si="190"/>
        <v>6381.5807879343165</v>
      </c>
      <c r="C275" s="1">
        <f t="shared" si="200"/>
        <v>3200</v>
      </c>
      <c r="D275" s="12">
        <f t="shared" si="209"/>
        <v>63.83076486422923</v>
      </c>
      <c r="E275" s="38">
        <f t="shared" si="201"/>
        <v>673910985.6636727</v>
      </c>
      <c r="F275" s="38">
        <f t="shared" si="202"/>
        <v>433289742.9080338</v>
      </c>
      <c r="G275" s="38">
        <f t="shared" si="203"/>
        <v>192668500.15239498</v>
      </c>
      <c r="H275" s="18">
        <f t="shared" si="210"/>
        <v>0.007833213358221876</v>
      </c>
      <c r="I275" s="50">
        <f t="shared" si="218"/>
        <v>0.03561066662062226</v>
      </c>
      <c r="J275" s="3">
        <f t="shared" si="211"/>
        <v>29.394594946784416</v>
      </c>
      <c r="K275" s="12">
        <f aca="true" t="shared" si="219" ref="K275:K303">0.773-(10-J275)/2*(0.773-0.75)</f>
        <v>0.996037841888021</v>
      </c>
      <c r="L275" s="3">
        <f t="shared" si="212"/>
        <v>1573.818818819583</v>
      </c>
      <c r="M275" s="12">
        <f aca="true" t="shared" si="220" ref="M275:M303">0.705-(10-J275)/2*(0.705-0.698)</f>
        <v>0.7728810823137455</v>
      </c>
      <c r="N275" s="37">
        <f t="shared" si="213"/>
        <v>4526.621229442451</v>
      </c>
      <c r="O275" s="1">
        <f t="shared" si="204"/>
        <v>87160.42036007855</v>
      </c>
      <c r="P275">
        <f t="shared" si="214"/>
        <v>295.22943681157295</v>
      </c>
      <c r="Q275" s="1">
        <f t="shared" si="215"/>
        <v>1336.391836227605</v>
      </c>
      <c r="R275" s="1">
        <f>+Q275*1000/'Material Properties'!AE$35</f>
        <v>1146071.4807705565</v>
      </c>
      <c r="S275" s="1">
        <f t="shared" si="216"/>
        <v>358.1473377407989</v>
      </c>
      <c r="T275" s="1">
        <f t="shared" si="217"/>
        <v>6.235718999771279</v>
      </c>
      <c r="U275">
        <f t="shared" si="205"/>
        <v>0.0012021073139616269</v>
      </c>
      <c r="V275">
        <f>+'Material Properties'!AE$31+'Material Properties'!AE$33</f>
        <v>0.00029034311030761144</v>
      </c>
      <c r="W275">
        <f t="shared" si="191"/>
        <v>0.0014924504242692384</v>
      </c>
      <c r="X275" s="1">
        <f>+'Volcano Summary'!E$12*10^9/Q275/3600/24/365</f>
        <v>0</v>
      </c>
      <c r="Y275" s="3">
        <f t="shared" si="192"/>
        <v>40</v>
      </c>
      <c r="Z275" s="1">
        <f>+Y275*'Volcano Summary'!B$19*'Volcano Summary'!B$20/1000</f>
        <v>1620000</v>
      </c>
      <c r="AA275" s="1">
        <f t="shared" si="206"/>
        <v>1212219.3177810558</v>
      </c>
      <c r="AB275" s="3">
        <f t="shared" si="188"/>
        <v>336.7275882725155</v>
      </c>
      <c r="AC275" s="1">
        <f t="shared" si="193"/>
        <v>551368580.0775247</v>
      </c>
      <c r="AD275" s="36">
        <f t="shared" si="194"/>
        <v>153157.9389104236</v>
      </c>
      <c r="AE275" s="36">
        <f t="shared" si="186"/>
        <v>6381.5807879343165</v>
      </c>
      <c r="AG275" s="1">
        <f t="shared" si="207"/>
        <v>1619999999.9999998</v>
      </c>
      <c r="AH275" s="1">
        <f t="shared" si="195"/>
        <v>1620000</v>
      </c>
      <c r="AI275" s="1">
        <f t="shared" si="196"/>
        <v>1621619999.9999998</v>
      </c>
      <c r="AJ275" s="1">
        <f t="shared" si="197"/>
        <v>123260137438.24033</v>
      </c>
      <c r="AK275" s="1">
        <f t="shared" si="198"/>
        <v>123383397575.67857</v>
      </c>
      <c r="AL275" s="39">
        <f>+AJ275/('Volcano Summary'!C$8)*10^6</f>
        <v>8557.07348676851</v>
      </c>
      <c r="AM275" s="1">
        <f t="shared" si="208"/>
        <v>6381.5807879343165</v>
      </c>
    </row>
    <row r="276" spans="1:39" ht="12.75" hidden="1">
      <c r="A276" s="1">
        <f t="shared" si="189"/>
        <v>1212219.3177810558</v>
      </c>
      <c r="B276" s="1">
        <f t="shared" si="190"/>
        <v>6395.405356860298</v>
      </c>
      <c r="C276" s="1">
        <f t="shared" si="200"/>
        <v>3240</v>
      </c>
      <c r="D276" s="12">
        <f t="shared" si="209"/>
        <v>64.22846818149976</v>
      </c>
      <c r="E276" s="38">
        <f t="shared" si="201"/>
        <v>678109848.6275362</v>
      </c>
      <c r="F276" s="38">
        <f t="shared" si="202"/>
        <v>435989393.593097</v>
      </c>
      <c r="G276" s="38">
        <f t="shared" si="203"/>
        <v>193868938.55865774</v>
      </c>
      <c r="H276" s="18">
        <f t="shared" si="210"/>
        <v>0.0077847100227749</v>
      </c>
      <c r="I276" s="50">
        <f t="shared" si="218"/>
        <v>0.03556511356948881</v>
      </c>
      <c r="J276" s="3">
        <f t="shared" si="211"/>
        <v>29.18640960655272</v>
      </c>
      <c r="K276" s="12">
        <f t="shared" si="219"/>
        <v>0.9936437104753565</v>
      </c>
      <c r="L276" s="3">
        <f t="shared" si="212"/>
        <v>1570.0359012299898</v>
      </c>
      <c r="M276" s="12">
        <f t="shared" si="220"/>
        <v>0.7721524336229345</v>
      </c>
      <c r="N276" s="37">
        <f t="shared" si="213"/>
        <v>4583.203994810482</v>
      </c>
      <c r="O276" s="1">
        <f t="shared" si="204"/>
        <v>87571.13373178858</v>
      </c>
      <c r="P276">
        <f t="shared" si="214"/>
        <v>295.9242026799913</v>
      </c>
      <c r="Q276" s="1">
        <f t="shared" si="215"/>
        <v>1356.280987884043</v>
      </c>
      <c r="R276" s="1">
        <f>+Q276*1000/'Material Properties'!AE$35</f>
        <v>1163128.1469909286</v>
      </c>
      <c r="S276" s="1">
        <f t="shared" si="216"/>
        <v>358.9901688243607</v>
      </c>
      <c r="T276" s="1">
        <f t="shared" si="217"/>
        <v>9.979602752302526</v>
      </c>
      <c r="U276">
        <f t="shared" si="205"/>
        <v>0.0007884387137374661</v>
      </c>
      <c r="V276">
        <f>+'Material Properties'!AE$31+'Material Properties'!AE$33</f>
        <v>0.00029034311030761144</v>
      </c>
      <c r="W276">
        <f t="shared" si="191"/>
        <v>0.0010787818240450774</v>
      </c>
      <c r="X276" s="1">
        <f>+'Volcano Summary'!E$12*10^9/Q276/3600/24/365</f>
        <v>0</v>
      </c>
      <c r="Y276" s="3">
        <f t="shared" si="192"/>
        <v>40</v>
      </c>
      <c r="Z276" s="1">
        <f>+Y276*'Volcano Summary'!B$19*'Volcano Summary'!B$20/1000</f>
        <v>1620000</v>
      </c>
      <c r="AA276" s="1">
        <f t="shared" si="206"/>
        <v>1194442.755204723</v>
      </c>
      <c r="AB276" s="3">
        <f t="shared" si="188"/>
        <v>331.78965422353417</v>
      </c>
      <c r="AC276" s="1">
        <f t="shared" si="193"/>
        <v>552563022.8327293</v>
      </c>
      <c r="AD276" s="36">
        <f t="shared" si="194"/>
        <v>153489.72856464714</v>
      </c>
      <c r="AE276" s="36">
        <f t="shared" si="186"/>
        <v>6395.405356860298</v>
      </c>
      <c r="AG276" s="1">
        <f t="shared" si="207"/>
        <v>1620000000</v>
      </c>
      <c r="AH276" s="1">
        <f t="shared" si="195"/>
        <v>1620000</v>
      </c>
      <c r="AI276" s="1">
        <f t="shared" si="196"/>
        <v>1621620000</v>
      </c>
      <c r="AJ276" s="1">
        <f t="shared" si="197"/>
        <v>124880137438.24033</v>
      </c>
      <c r="AK276" s="1">
        <f t="shared" si="198"/>
        <v>125005017575.67857</v>
      </c>
      <c r="AL276" s="39">
        <f>+AJ276/('Volcano Summary'!C$8)*10^6</f>
        <v>8669.53854916965</v>
      </c>
      <c r="AM276" s="1">
        <f t="shared" si="208"/>
        <v>6395.405356860298</v>
      </c>
    </row>
    <row r="277" spans="1:39" ht="12.75" hidden="1">
      <c r="A277" s="1">
        <f t="shared" si="189"/>
        <v>1194442.755204723</v>
      </c>
      <c r="B277" s="1">
        <f t="shared" si="190"/>
        <v>6409.029608615704</v>
      </c>
      <c r="C277" s="1">
        <f t="shared" si="200"/>
        <v>3280</v>
      </c>
      <c r="D277" s="12">
        <f t="shared" si="209"/>
        <v>64.62372402400943</v>
      </c>
      <c r="E277" s="38">
        <f t="shared" si="201"/>
        <v>682282871.6984894</v>
      </c>
      <c r="F277" s="38">
        <f t="shared" si="202"/>
        <v>438672430.5698305</v>
      </c>
      <c r="G277" s="38">
        <f t="shared" si="203"/>
        <v>195061989.44117168</v>
      </c>
      <c r="H277" s="18">
        <f t="shared" si="210"/>
        <v>0.007737096670786671</v>
      </c>
      <c r="I277" s="50">
        <f t="shared" si="218"/>
        <v>0.03552023372763822</v>
      </c>
      <c r="J277" s="3">
        <f t="shared" si="211"/>
        <v>28.98234821196741</v>
      </c>
      <c r="K277" s="12">
        <f t="shared" si="219"/>
        <v>0.9912970044376255</v>
      </c>
      <c r="L277" s="3">
        <f t="shared" si="212"/>
        <v>1566.3279194956635</v>
      </c>
      <c r="M277" s="12">
        <f t="shared" si="220"/>
        <v>0.771438218741886</v>
      </c>
      <c r="N277" s="37">
        <f t="shared" si="213"/>
        <v>4639.786760178512</v>
      </c>
      <c r="O277" s="1">
        <f t="shared" si="204"/>
        <v>87979.43756610686</v>
      </c>
      <c r="P277">
        <f t="shared" si="214"/>
        <v>296.6132794837528</v>
      </c>
      <c r="Q277" s="1">
        <f t="shared" si="215"/>
        <v>1376.2223670418448</v>
      </c>
      <c r="R277" s="1">
        <f>+Q277*1000/'Material Properties'!AE$35</f>
        <v>1180229.6028068385</v>
      </c>
      <c r="S277" s="1">
        <f t="shared" si="216"/>
        <v>359.82609841671905</v>
      </c>
      <c r="T277" s="1">
        <f t="shared" si="217"/>
        <v>13.631744932594074</v>
      </c>
      <c r="U277">
        <f t="shared" si="205"/>
        <v>0.0005902869916716017</v>
      </c>
      <c r="V277">
        <f>+'Material Properties'!AE$31+'Material Properties'!AE$33</f>
        <v>0.00029034311030761144</v>
      </c>
      <c r="W277">
        <f t="shared" si="191"/>
        <v>0.0008806301019792131</v>
      </c>
      <c r="X277" s="1">
        <f>+'Volcano Summary'!E$12*10^9/Q277/3600/24/365</f>
        <v>0</v>
      </c>
      <c r="Y277" s="3">
        <f t="shared" si="192"/>
        <v>40</v>
      </c>
      <c r="Z277" s="1">
        <f>+Y277*'Volcano Summary'!B$19*'Volcano Summary'!B$20/1000</f>
        <v>1620000</v>
      </c>
      <c r="AA277" s="1">
        <f t="shared" si="206"/>
        <v>1177135.3516671504</v>
      </c>
      <c r="AB277" s="3">
        <f t="shared" si="188"/>
        <v>326.982042129764</v>
      </c>
      <c r="AC277" s="1">
        <f t="shared" si="193"/>
        <v>553740158.1843965</v>
      </c>
      <c r="AD277" s="36">
        <f t="shared" si="194"/>
        <v>153816.7106067769</v>
      </c>
      <c r="AE277" s="36">
        <f t="shared" si="186"/>
        <v>6409.029608615704</v>
      </c>
      <c r="AG277" s="1">
        <f t="shared" si="207"/>
        <v>1620000000</v>
      </c>
      <c r="AH277" s="1">
        <f t="shared" si="195"/>
        <v>1620000</v>
      </c>
      <c r="AI277" s="1">
        <f t="shared" si="196"/>
        <v>1621620000</v>
      </c>
      <c r="AJ277" s="1">
        <f t="shared" si="197"/>
        <v>126500137438.24033</v>
      </c>
      <c r="AK277" s="1">
        <f t="shared" si="198"/>
        <v>126626637575.67857</v>
      </c>
      <c r="AL277" s="39">
        <f>+AJ277/('Volcano Summary'!C$8)*10^6</f>
        <v>8782.003611570792</v>
      </c>
      <c r="AM277" s="1">
        <f t="shared" si="208"/>
        <v>6409.029608615704</v>
      </c>
    </row>
    <row r="278" spans="1:39" ht="12.75" hidden="1">
      <c r="A278" s="1">
        <f t="shared" si="189"/>
        <v>1177135.3516671504</v>
      </c>
      <c r="B278" s="1">
        <f t="shared" si="190"/>
        <v>6422.458767504336</v>
      </c>
      <c r="C278" s="1">
        <f t="shared" si="200"/>
        <v>3320</v>
      </c>
      <c r="D278" s="12">
        <f t="shared" si="209"/>
        <v>65.0165770286374</v>
      </c>
      <c r="E278" s="38">
        <f t="shared" si="201"/>
        <v>686430526.1427516</v>
      </c>
      <c r="F278" s="38">
        <f t="shared" si="202"/>
        <v>441339156.8379234</v>
      </c>
      <c r="G278" s="38">
        <f t="shared" si="203"/>
        <v>196247787.53309536</v>
      </c>
      <c r="H278" s="18">
        <f t="shared" si="210"/>
        <v>0.007690346413957912</v>
      </c>
      <c r="I278" s="50">
        <f t="shared" si="218"/>
        <v>0.035476008975961565</v>
      </c>
      <c r="J278" s="3">
        <f t="shared" si="211"/>
        <v>28.782279840982472</v>
      </c>
      <c r="K278" s="12">
        <f t="shared" si="219"/>
        <v>0.9889962181712987</v>
      </c>
      <c r="L278" s="3">
        <f t="shared" si="212"/>
        <v>1562.6924946435686</v>
      </c>
      <c r="M278" s="12">
        <f t="shared" si="220"/>
        <v>0.7707379794434387</v>
      </c>
      <c r="N278" s="37">
        <f t="shared" si="213"/>
        <v>4696.369525546544</v>
      </c>
      <c r="O278" s="1">
        <f t="shared" si="204"/>
        <v>88385.37259192819</v>
      </c>
      <c r="P278">
        <f t="shared" si="214"/>
        <v>297.2967752800696</v>
      </c>
      <c r="Q278" s="1">
        <f t="shared" si="215"/>
        <v>1396.215515468578</v>
      </c>
      <c r="R278" s="1">
        <f>+Q278*1000/'Material Properties'!AE$35</f>
        <v>1197375.4552443782</v>
      </c>
      <c r="S278" s="1">
        <f t="shared" si="216"/>
        <v>360.6552576037284</v>
      </c>
      <c r="T278" s="1">
        <f t="shared" si="217"/>
        <v>17.195527276406892</v>
      </c>
      <c r="U278">
        <f t="shared" si="205"/>
        <v>0.00047403426653303113</v>
      </c>
      <c r="V278">
        <f>+'Material Properties'!AE$31+'Material Properties'!AE$33</f>
        <v>0.00029034311030761144</v>
      </c>
      <c r="W278">
        <f t="shared" si="191"/>
        <v>0.0007643773768406426</v>
      </c>
      <c r="X278" s="1">
        <f>+'Volcano Summary'!E$12*10^9/Q278/3600/24/365</f>
        <v>0</v>
      </c>
      <c r="Y278" s="3">
        <f t="shared" si="192"/>
        <v>40</v>
      </c>
      <c r="Z278" s="1">
        <f>+Y278*'Volcano Summary'!B$19*'Volcano Summary'!B$20/1000</f>
        <v>1620000</v>
      </c>
      <c r="AA278" s="1">
        <f t="shared" si="206"/>
        <v>1160279.3279777574</v>
      </c>
      <c r="AB278" s="3">
        <f t="shared" si="188"/>
        <v>322.2998133271548</v>
      </c>
      <c r="AC278" s="1">
        <f t="shared" si="193"/>
        <v>554900437.5123743</v>
      </c>
      <c r="AD278" s="36">
        <f t="shared" si="194"/>
        <v>154139.01042010405</v>
      </c>
      <c r="AE278" s="36">
        <f t="shared" si="186"/>
        <v>6422.458767504336</v>
      </c>
      <c r="AG278" s="1">
        <f t="shared" si="207"/>
        <v>1619999999.9999998</v>
      </c>
      <c r="AH278" s="1">
        <f t="shared" si="195"/>
        <v>1620000</v>
      </c>
      <c r="AI278" s="1">
        <f t="shared" si="196"/>
        <v>1621619999.9999998</v>
      </c>
      <c r="AJ278" s="1">
        <f t="shared" si="197"/>
        <v>128120137438.24033</v>
      </c>
      <c r="AK278" s="1">
        <f t="shared" si="198"/>
        <v>128248257575.67857</v>
      </c>
      <c r="AL278" s="39">
        <f>+AJ278/('Volcano Summary'!C$8)*10^6</f>
        <v>8894.468673971935</v>
      </c>
      <c r="AM278" s="1">
        <f t="shared" si="208"/>
        <v>6422.458767504336</v>
      </c>
    </row>
    <row r="279" spans="1:39" ht="12.75" hidden="1">
      <c r="A279" s="1">
        <f t="shared" si="189"/>
        <v>1160279.3279777574</v>
      </c>
      <c r="B279" s="1">
        <f t="shared" si="190"/>
        <v>6435.697862171582</v>
      </c>
      <c r="C279" s="1">
        <f t="shared" si="200"/>
        <v>3360</v>
      </c>
      <c r="D279" s="12">
        <f t="shared" si="209"/>
        <v>65.40707049173007</v>
      </c>
      <c r="E279" s="38">
        <f t="shared" si="201"/>
        <v>690553269.0734957</v>
      </c>
      <c r="F279" s="38">
        <f t="shared" si="202"/>
        <v>443989866.29739136</v>
      </c>
      <c r="G279" s="38">
        <f t="shared" si="203"/>
        <v>197426463.52128708</v>
      </c>
      <c r="H279" s="18">
        <f t="shared" si="210"/>
        <v>0.007644433487710154</v>
      </c>
      <c r="I279" s="50">
        <f t="shared" si="218"/>
        <v>0.03543242189620908</v>
      </c>
      <c r="J279" s="3">
        <f t="shared" si="211"/>
        <v>28.586079249405522</v>
      </c>
      <c r="K279" s="12">
        <f t="shared" si="219"/>
        <v>0.9867399113681637</v>
      </c>
      <c r="L279" s="3">
        <f t="shared" si="212"/>
        <v>1559.1273508724512</v>
      </c>
      <c r="M279" s="12">
        <f t="shared" si="220"/>
        <v>0.7700512773729193</v>
      </c>
      <c r="N279" s="37">
        <f t="shared" si="213"/>
        <v>4752.952290914573</v>
      </c>
      <c r="O279" s="1">
        <f t="shared" si="204"/>
        <v>88788.97837360355</v>
      </c>
      <c r="P279">
        <f t="shared" si="214"/>
        <v>297.9747948629272</v>
      </c>
      <c r="Q279" s="1">
        <f t="shared" si="215"/>
        <v>1416.2599838785497</v>
      </c>
      <c r="R279" s="1">
        <f>+Q279*1000/'Material Properties'!AE$35</f>
        <v>1214565.3190022428</v>
      </c>
      <c r="S279" s="1">
        <f t="shared" si="216"/>
        <v>361.47777351257224</v>
      </c>
      <c r="T279" s="1">
        <f t="shared" si="217"/>
        <v>20.674166860888818</v>
      </c>
      <c r="U279">
        <f t="shared" si="205"/>
        <v>0.00039760052174022195</v>
      </c>
      <c r="V279">
        <f>+'Material Properties'!AE$31+'Material Properties'!AE$33</f>
        <v>0.00029034311030761144</v>
      </c>
      <c r="W279">
        <f t="shared" si="191"/>
        <v>0.0006879436320478334</v>
      </c>
      <c r="X279" s="1">
        <f>+'Volcano Summary'!E$12*10^9/Q279/3600/24/365</f>
        <v>0</v>
      </c>
      <c r="Y279" s="3">
        <f t="shared" si="192"/>
        <v>40</v>
      </c>
      <c r="Z279" s="1">
        <f>+Y279*'Volcano Summary'!B$19*'Volcano Summary'!B$20/1000</f>
        <v>1620000</v>
      </c>
      <c r="AA279" s="1">
        <f t="shared" si="206"/>
        <v>1143857.7792500292</v>
      </c>
      <c r="AB279" s="3">
        <f t="shared" si="188"/>
        <v>317.738272013897</v>
      </c>
      <c r="AC279" s="1">
        <f t="shared" si="193"/>
        <v>556044295.2916243</v>
      </c>
      <c r="AD279" s="36">
        <f t="shared" si="194"/>
        <v>154456.74869211795</v>
      </c>
      <c r="AE279" s="36">
        <f t="shared" si="186"/>
        <v>6435.697862171582</v>
      </c>
      <c r="AG279" s="1">
        <f t="shared" si="207"/>
        <v>1620000000.0000002</v>
      </c>
      <c r="AH279" s="1">
        <f t="shared" si="195"/>
        <v>1620000</v>
      </c>
      <c r="AI279" s="1">
        <f t="shared" si="196"/>
        <v>1621620000.0000002</v>
      </c>
      <c r="AJ279" s="1">
        <f t="shared" si="197"/>
        <v>129740137438.24033</v>
      </c>
      <c r="AK279" s="1">
        <f t="shared" si="198"/>
        <v>129869877575.67857</v>
      </c>
      <c r="AL279" s="39">
        <f>+AJ279/('Volcano Summary'!C$8)*10^6</f>
        <v>9006.933736373076</v>
      </c>
      <c r="AM279" s="1">
        <f t="shared" si="208"/>
        <v>6435.697862171582</v>
      </c>
    </row>
    <row r="280" spans="1:39" ht="12.75" hidden="1">
      <c r="A280" s="1">
        <f t="shared" si="189"/>
        <v>1143857.7792500292</v>
      </c>
      <c r="B280" s="1">
        <f t="shared" si="190"/>
        <v>6448.751735114255</v>
      </c>
      <c r="C280" s="1">
        <f t="shared" si="200"/>
        <v>3400</v>
      </c>
      <c r="D280" s="12">
        <f t="shared" si="209"/>
        <v>65.79524642479541</v>
      </c>
      <c r="E280" s="38">
        <f t="shared" si="201"/>
        <v>694651544.0388577</v>
      </c>
      <c r="F280" s="38">
        <f t="shared" si="202"/>
        <v>446624844.12663585</v>
      </c>
      <c r="G280" s="38">
        <f t="shared" si="203"/>
        <v>198598144.2144142</v>
      </c>
      <c r="H280" s="18">
        <f t="shared" si="210"/>
        <v>0.007599333191517183</v>
      </c>
      <c r="I280" s="50">
        <f t="shared" si="218"/>
        <v>0.035389455735852206</v>
      </c>
      <c r="J280" s="3">
        <f t="shared" si="211"/>
        <v>28.39362656031898</v>
      </c>
      <c r="K280" s="12">
        <f t="shared" si="219"/>
        <v>0.9845267054436685</v>
      </c>
      <c r="L280" s="3">
        <f t="shared" si="212"/>
        <v>1555.6303099093375</v>
      </c>
      <c r="M280" s="12">
        <f t="shared" si="220"/>
        <v>0.7693776929611165</v>
      </c>
      <c r="N280" s="37">
        <f t="shared" si="213"/>
        <v>4809.535056282602</v>
      </c>
      <c r="O280" s="1">
        <f t="shared" si="204"/>
        <v>89190.29335762023</v>
      </c>
      <c r="P280">
        <f t="shared" si="214"/>
        <v>298.64743989798444</v>
      </c>
      <c r="Q280" s="1">
        <f t="shared" si="215"/>
        <v>1436.3553316584077</v>
      </c>
      <c r="R280" s="1">
        <f>+Q280*1000/'Material Properties'!AE$35</f>
        <v>1231798.8162164078</v>
      </c>
      <c r="S280" s="1">
        <f t="shared" si="216"/>
        <v>362.2937694754141</v>
      </c>
      <c r="T280" s="1">
        <f t="shared" si="217"/>
        <v>24.070726005984397</v>
      </c>
      <c r="U280">
        <f t="shared" si="205"/>
        <v>0.00034351824604315673</v>
      </c>
      <c r="V280">
        <f>+'Material Properties'!AE$31+'Material Properties'!AE$33</f>
        <v>0.00029034311030761144</v>
      </c>
      <c r="W280">
        <f t="shared" si="191"/>
        <v>0.0006338613563507682</v>
      </c>
      <c r="X280" s="1">
        <f>+'Volcano Summary'!E$12*10^9/Q280/3600/24/365</f>
        <v>0</v>
      </c>
      <c r="Y280" s="3">
        <f t="shared" si="192"/>
        <v>40</v>
      </c>
      <c r="Z280" s="1">
        <f>+Y280*'Volcano Summary'!B$19*'Volcano Summary'!B$20/1000</f>
        <v>1620000</v>
      </c>
      <c r="AA280" s="1">
        <f t="shared" si="206"/>
        <v>1127854.6222469597</v>
      </c>
      <c r="AB280" s="3">
        <f t="shared" si="188"/>
        <v>313.2929506241555</v>
      </c>
      <c r="AC280" s="1">
        <f t="shared" si="193"/>
        <v>557172149.9138713</v>
      </c>
      <c r="AD280" s="36">
        <f t="shared" si="194"/>
        <v>154770.04164274212</v>
      </c>
      <c r="AE280" s="36">
        <f t="shared" si="186"/>
        <v>6448.751735114255</v>
      </c>
      <c r="AG280" s="1">
        <f t="shared" si="207"/>
        <v>1620000000</v>
      </c>
      <c r="AH280" s="1">
        <f t="shared" si="195"/>
        <v>1620000</v>
      </c>
      <c r="AI280" s="1">
        <f t="shared" si="196"/>
        <v>1621620000</v>
      </c>
      <c r="AJ280" s="1">
        <f t="shared" si="197"/>
        <v>131360137438.24033</v>
      </c>
      <c r="AK280" s="1">
        <f t="shared" si="198"/>
        <v>131491497575.67857</v>
      </c>
      <c r="AL280" s="39">
        <f>+AJ280/('Volcano Summary'!C$8)*10^6</f>
        <v>9119.398798774218</v>
      </c>
      <c r="AM280" s="1">
        <f t="shared" si="208"/>
        <v>6448.751735114255</v>
      </c>
    </row>
    <row r="281" spans="1:39" ht="12.75" hidden="1">
      <c r="A281" s="1">
        <f t="shared" si="189"/>
        <v>1127854.6222469597</v>
      </c>
      <c r="B281" s="1">
        <f t="shared" si="190"/>
        <v>6461.625051624291</v>
      </c>
      <c r="C281" s="1">
        <f t="shared" si="200"/>
        <v>3440</v>
      </c>
      <c r="D281" s="12">
        <f t="shared" si="209"/>
        <v>66.18114560725705</v>
      </c>
      <c r="E281" s="38">
        <f t="shared" si="201"/>
        <v>698725781.5789012</v>
      </c>
      <c r="F281" s="38">
        <f t="shared" si="202"/>
        <v>449244367.14054435</v>
      </c>
      <c r="G281" s="38">
        <f t="shared" si="203"/>
        <v>199762952.70218754</v>
      </c>
      <c r="H281" s="18">
        <f t="shared" si="210"/>
        <v>0.007555021833063779</v>
      </c>
      <c r="I281" s="50">
        <f t="shared" si="218"/>
        <v>0.0353470943750997</v>
      </c>
      <c r="J281" s="3">
        <f t="shared" si="211"/>
        <v>28.20480697392441</v>
      </c>
      <c r="K281" s="12">
        <f t="shared" si="219"/>
        <v>0.982355280200131</v>
      </c>
      <c r="L281" s="3">
        <f t="shared" si="212"/>
        <v>1552.199285737142</v>
      </c>
      <c r="M281" s="12">
        <f t="shared" si="220"/>
        <v>0.7687168244087355</v>
      </c>
      <c r="N281" s="37">
        <f t="shared" si="213"/>
        <v>4866.117821650632</v>
      </c>
      <c r="O281" s="1">
        <f t="shared" si="204"/>
        <v>89589.35491688648</v>
      </c>
      <c r="P281">
        <f t="shared" si="214"/>
        <v>299.31480905041514</v>
      </c>
      <c r="Q281" s="1">
        <f t="shared" si="215"/>
        <v>1456.501126604181</v>
      </c>
      <c r="R281" s="1">
        <f>+Q281*1000/'Material Properties'!AE$35</f>
        <v>1249075.57623462</v>
      </c>
      <c r="S281" s="1">
        <f t="shared" si="216"/>
        <v>363.1033651844826</v>
      </c>
      <c r="T281" s="1">
        <f t="shared" si="217"/>
        <v>27.388121470388796</v>
      </c>
      <c r="U281">
        <f t="shared" si="205"/>
        <v>0.0003032332850019434</v>
      </c>
      <c r="V281">
        <f>+'Material Properties'!AE$31+'Material Properties'!AE$33</f>
        <v>0.00029034311030761144</v>
      </c>
      <c r="W281">
        <f t="shared" si="191"/>
        <v>0.0005935763953095548</v>
      </c>
      <c r="X281" s="1">
        <f>+'Volcano Summary'!E$12*10^9/Q281/3600/24/365</f>
        <v>0</v>
      </c>
      <c r="Y281" s="3">
        <f t="shared" si="192"/>
        <v>40</v>
      </c>
      <c r="Z281" s="1">
        <f>+Y281*'Volcano Summary'!B$19*'Volcano Summary'!B$20/1000</f>
        <v>1620000</v>
      </c>
      <c r="AA281" s="1">
        <f t="shared" si="206"/>
        <v>1112254.5464671317</v>
      </c>
      <c r="AB281" s="3">
        <f t="shared" si="188"/>
        <v>308.9595962408699</v>
      </c>
      <c r="AC281" s="1">
        <f t="shared" si="193"/>
        <v>558284404.4603385</v>
      </c>
      <c r="AD281" s="36">
        <f t="shared" si="194"/>
        <v>155079.00123898298</v>
      </c>
      <c r="AE281" s="36">
        <f t="shared" si="186"/>
        <v>6461.625051624291</v>
      </c>
      <c r="AG281" s="1">
        <f t="shared" si="207"/>
        <v>1619999999.9999998</v>
      </c>
      <c r="AH281" s="1">
        <f t="shared" si="195"/>
        <v>1620000</v>
      </c>
      <c r="AI281" s="1">
        <f t="shared" si="196"/>
        <v>1621619999.9999998</v>
      </c>
      <c r="AJ281" s="1">
        <f t="shared" si="197"/>
        <v>132980137438.24033</v>
      </c>
      <c r="AK281" s="1">
        <f t="shared" si="198"/>
        <v>133113117575.67857</v>
      </c>
      <c r="AL281" s="39">
        <f>+AJ281/('Volcano Summary'!C$8)*10^6</f>
        <v>9231.863861175358</v>
      </c>
      <c r="AM281" s="1">
        <f t="shared" si="208"/>
        <v>6461.625051624291</v>
      </c>
    </row>
    <row r="282" spans="1:39" ht="12.75" hidden="1">
      <c r="A282" s="1">
        <f t="shared" si="189"/>
        <v>1112254.5464671317</v>
      </c>
      <c r="B282" s="1">
        <f t="shared" si="190"/>
        <v>6474.322308206075</v>
      </c>
      <c r="C282" s="1">
        <f t="shared" si="200"/>
        <v>3480</v>
      </c>
      <c r="D282" s="12">
        <f t="shared" si="209"/>
        <v>66.56480763645581</v>
      </c>
      <c r="E282" s="38">
        <f t="shared" si="201"/>
        <v>702776399.753523</v>
      </c>
      <c r="F282" s="38">
        <f t="shared" si="202"/>
        <v>451848704.12990516</v>
      </c>
      <c r="G282" s="38">
        <f t="shared" si="203"/>
        <v>200921008.50628737</v>
      </c>
      <c r="H282" s="18">
        <f t="shared" si="210"/>
        <v>0.007511476675944948</v>
      </c>
      <c r="I282" s="50">
        <f t="shared" si="218"/>
        <v>0.03530532229591241</v>
      </c>
      <c r="J282" s="3">
        <f t="shared" si="211"/>
        <v>28.01951049624652</v>
      </c>
      <c r="K282" s="12">
        <f t="shared" si="219"/>
        <v>0.9802243707068352</v>
      </c>
      <c r="L282" s="3">
        <f t="shared" si="212"/>
        <v>1548.83227966497</v>
      </c>
      <c r="M282" s="12">
        <f t="shared" si="220"/>
        <v>0.7680682867368629</v>
      </c>
      <c r="N282" s="37">
        <f t="shared" si="213"/>
        <v>4922.700587018664</v>
      </c>
      <c r="O282" s="1">
        <f t="shared" si="204"/>
        <v>89986.1993927694</v>
      </c>
      <c r="P282">
        <f t="shared" si="214"/>
        <v>299.9769981061371</v>
      </c>
      <c r="Q282" s="1">
        <f t="shared" si="215"/>
        <v>1476.6969446691778</v>
      </c>
      <c r="R282" s="1">
        <f>+Q282*1000/'Material Properties'!AE$35</f>
        <v>1266395.2354001985</v>
      </c>
      <c r="S282" s="1">
        <f t="shared" si="216"/>
        <v>363.9066768391375</v>
      </c>
      <c r="T282" s="1">
        <f t="shared" si="217"/>
        <v>30.629132999941703</v>
      </c>
      <c r="U282">
        <f t="shared" si="205"/>
        <v>0.0002720626666142662</v>
      </c>
      <c r="V282">
        <f>+'Material Properties'!AE$31+'Material Properties'!AE$33</f>
        <v>0.00029034311030761144</v>
      </c>
      <c r="W282">
        <f t="shared" si="191"/>
        <v>0.0005624057769218777</v>
      </c>
      <c r="X282" s="1">
        <f>+'Volcano Summary'!E$12*10^9/Q282/3600/24/365</f>
        <v>0</v>
      </c>
      <c r="Y282" s="3">
        <f t="shared" si="192"/>
        <v>40</v>
      </c>
      <c r="Z282" s="1">
        <f>+Y282*'Volcano Summary'!B$19*'Volcano Summary'!B$20/1000</f>
        <v>1620000</v>
      </c>
      <c r="AA282" s="1">
        <f t="shared" si="206"/>
        <v>1097042.9686660767</v>
      </c>
      <c r="AB282" s="3">
        <f t="shared" si="188"/>
        <v>304.7341579627991</v>
      </c>
      <c r="AC282" s="1">
        <f t="shared" si="193"/>
        <v>559381447.4290045</v>
      </c>
      <c r="AD282" s="36">
        <f t="shared" si="194"/>
        <v>155383.7353969458</v>
      </c>
      <c r="AE282" s="36">
        <f t="shared" si="186"/>
        <v>6474.322308206075</v>
      </c>
      <c r="AG282" s="1">
        <f t="shared" si="207"/>
        <v>1620000000</v>
      </c>
      <c r="AH282" s="1">
        <f t="shared" si="195"/>
        <v>1620000</v>
      </c>
      <c r="AI282" s="1">
        <f t="shared" si="196"/>
        <v>1621620000</v>
      </c>
      <c r="AJ282" s="1">
        <f t="shared" si="197"/>
        <v>134600137438.24033</v>
      </c>
      <c r="AK282" s="1">
        <f t="shared" si="198"/>
        <v>134734737575.67857</v>
      </c>
      <c r="AL282" s="39">
        <f>+AJ282/('Volcano Summary'!C$8)*10^6</f>
        <v>9344.3289235765</v>
      </c>
      <c r="AM282" s="1">
        <f t="shared" si="208"/>
        <v>6474.322308206075</v>
      </c>
    </row>
    <row r="283" spans="1:39" ht="12.75" hidden="1">
      <c r="A283" s="1">
        <f t="shared" si="189"/>
        <v>1097042.9686660767</v>
      </c>
      <c r="B283" s="1">
        <f t="shared" si="190"/>
        <v>6486.847840503941</v>
      </c>
      <c r="C283" s="1">
        <f t="shared" si="200"/>
        <v>3520</v>
      </c>
      <c r="D283" s="12">
        <f t="shared" si="209"/>
        <v>66.94627097507204</v>
      </c>
      <c r="E283" s="38">
        <f t="shared" si="201"/>
        <v>706803804.6431279</v>
      </c>
      <c r="F283" s="38">
        <f t="shared" si="202"/>
        <v>454438116.183316</v>
      </c>
      <c r="G283" s="38">
        <f t="shared" si="203"/>
        <v>202072427.7235041</v>
      </c>
      <c r="H283" s="18">
        <f t="shared" si="210"/>
        <v>0.007468675890643392</v>
      </c>
      <c r="I283" s="50">
        <f t="shared" si="218"/>
        <v>0.0352641245528739</v>
      </c>
      <c r="J283" s="3">
        <f t="shared" si="211"/>
        <v>27.837631685269496</v>
      </c>
      <c r="K283" s="12">
        <f t="shared" si="219"/>
        <v>0.9781327643805994</v>
      </c>
      <c r="L283" s="3">
        <f t="shared" si="212"/>
        <v>1545.527375715184</v>
      </c>
      <c r="M283" s="12">
        <f t="shared" si="220"/>
        <v>0.7674317108984432</v>
      </c>
      <c r="N283" s="37">
        <f t="shared" si="213"/>
        <v>4979.283352386696</v>
      </c>
      <c r="O283" s="1">
        <f t="shared" si="204"/>
        <v>90380.86213502502</v>
      </c>
      <c r="P283">
        <f t="shared" si="214"/>
        <v>300.6341000868415</v>
      </c>
      <c r="Q283" s="1">
        <f t="shared" si="215"/>
        <v>1496.9423697221657</v>
      </c>
      <c r="R283" s="1">
        <f>+Q283*1000/'Material Properties'!AE$35</f>
        <v>1283757.4368446523</v>
      </c>
      <c r="S283" s="1">
        <f t="shared" si="216"/>
        <v>364.7038172854126</v>
      </c>
      <c r="T283" s="1">
        <f t="shared" si="217"/>
        <v>33.796411280997745</v>
      </c>
      <c r="U283">
        <f t="shared" si="205"/>
        <v>0.00024722729767438155</v>
      </c>
      <c r="V283">
        <f>+'Material Properties'!AE$31+'Material Properties'!AE$33</f>
        <v>0.00029034311030761144</v>
      </c>
      <c r="W283">
        <f t="shared" si="191"/>
        <v>0.000537570407981993</v>
      </c>
      <c r="X283" s="1">
        <f>+'Volcano Summary'!E$12*10^9/Q283/3600/24/365</f>
        <v>0</v>
      </c>
      <c r="Y283" s="3">
        <f t="shared" si="192"/>
        <v>40</v>
      </c>
      <c r="Z283" s="1">
        <f>+Y283*'Volcano Summary'!B$19*'Volcano Summary'!B$20/1000</f>
        <v>1620000</v>
      </c>
      <c r="AA283" s="1">
        <f t="shared" si="206"/>
        <v>1082205.990535677</v>
      </c>
      <c r="AB283" s="3">
        <f t="shared" si="188"/>
        <v>300.61277514879913</v>
      </c>
      <c r="AC283" s="1">
        <f t="shared" si="193"/>
        <v>560463653.4195403</v>
      </c>
      <c r="AD283" s="36">
        <f t="shared" si="194"/>
        <v>155684.3481720946</v>
      </c>
      <c r="AE283" s="36">
        <f t="shared" si="186"/>
        <v>6486.847840503941</v>
      </c>
      <c r="AG283" s="1">
        <f t="shared" si="207"/>
        <v>1620000000</v>
      </c>
      <c r="AH283" s="1">
        <f t="shared" si="195"/>
        <v>1620000</v>
      </c>
      <c r="AI283" s="1">
        <f t="shared" si="196"/>
        <v>1621620000</v>
      </c>
      <c r="AJ283" s="1">
        <f t="shared" si="197"/>
        <v>136220137438.24033</v>
      </c>
      <c r="AK283" s="1">
        <f t="shared" si="198"/>
        <v>136356357575.67857</v>
      </c>
      <c r="AL283" s="39">
        <f>+AJ283/('Volcano Summary'!C$8)*10^6</f>
        <v>9456.793985977642</v>
      </c>
      <c r="AM283" s="1">
        <f t="shared" si="208"/>
        <v>6486.847840503941</v>
      </c>
    </row>
    <row r="284" spans="1:39" ht="12.75" hidden="1">
      <c r="A284" s="1">
        <f t="shared" si="189"/>
        <v>1082205.990535677</v>
      </c>
      <c r="B284" s="1">
        <f t="shared" si="190"/>
        <v>6499.205830773496</v>
      </c>
      <c r="C284" s="1">
        <f t="shared" si="200"/>
        <v>3560</v>
      </c>
      <c r="D284" s="12">
        <f t="shared" si="209"/>
        <v>67.32557299612964</v>
      </c>
      <c r="E284" s="38">
        <f t="shared" si="201"/>
        <v>710808390.8237706</v>
      </c>
      <c r="F284" s="38">
        <f t="shared" si="202"/>
        <v>457012856.9926752</v>
      </c>
      <c r="G284" s="38">
        <f t="shared" si="203"/>
        <v>203217323.16157976</v>
      </c>
      <c r="H284" s="18">
        <f t="shared" si="210"/>
        <v>0.007426598508545091</v>
      </c>
      <c r="I284" s="50">
        <f t="shared" si="218"/>
        <v>0.03522348674578605</v>
      </c>
      <c r="J284" s="3">
        <f t="shared" si="211"/>
        <v>27.659069413201244</v>
      </c>
      <c r="K284" s="12">
        <f t="shared" si="219"/>
        <v>0.9760792982518145</v>
      </c>
      <c r="L284" s="3">
        <f t="shared" si="212"/>
        <v>1542.2827363035283</v>
      </c>
      <c r="M284" s="12">
        <f t="shared" si="220"/>
        <v>0.7668067429462043</v>
      </c>
      <c r="N284" s="37">
        <f t="shared" si="213"/>
        <v>5035.8661177547265</v>
      </c>
      <c r="O284" s="1">
        <f t="shared" si="204"/>
        <v>90773.37753974856</v>
      </c>
      <c r="P284">
        <f t="shared" si="214"/>
        <v>301.2862053592042</v>
      </c>
      <c r="Q284" s="1">
        <f t="shared" si="215"/>
        <v>1517.2369933153088</v>
      </c>
      <c r="R284" s="1">
        <f>+Q284*1000/'Material Properties'!AE$35</f>
        <v>1301161.8302886672</v>
      </c>
      <c r="S284" s="1">
        <f t="shared" si="216"/>
        <v>365.49489614850205</v>
      </c>
      <c r="T284" s="1">
        <f t="shared" si="217"/>
        <v>36.892485346492094</v>
      </c>
      <c r="U284">
        <f t="shared" si="205"/>
        <v>0.00022697369388002426</v>
      </c>
      <c r="V284">
        <f>+'Material Properties'!AE$31+'Material Properties'!AE$33</f>
        <v>0.00029034311030761144</v>
      </c>
      <c r="W284">
        <f t="shared" si="191"/>
        <v>0.0005173168041876357</v>
      </c>
      <c r="X284" s="1">
        <f>+'Volcano Summary'!E$12*10^9/Q284/3600/24/365</f>
        <v>0</v>
      </c>
      <c r="Y284" s="3">
        <f t="shared" si="192"/>
        <v>40</v>
      </c>
      <c r="Z284" s="1">
        <f>+Y284*'Volcano Summary'!B$19*'Volcano Summary'!B$20/1000</f>
        <v>1620000</v>
      </c>
      <c r="AA284" s="1">
        <f t="shared" si="206"/>
        <v>1067730.3592895821</v>
      </c>
      <c r="AB284" s="3">
        <f t="shared" si="188"/>
        <v>296.5917664693284</v>
      </c>
      <c r="AC284" s="1">
        <f t="shared" si="193"/>
        <v>561531383.7788298</v>
      </c>
      <c r="AD284" s="36">
        <f t="shared" si="194"/>
        <v>155980.9399385639</v>
      </c>
      <c r="AE284" s="36">
        <f t="shared" si="186"/>
        <v>6499.205830773496</v>
      </c>
      <c r="AG284" s="1">
        <f t="shared" si="207"/>
        <v>1620000000</v>
      </c>
      <c r="AH284" s="1">
        <f t="shared" si="195"/>
        <v>1620000</v>
      </c>
      <c r="AI284" s="1">
        <f t="shared" si="196"/>
        <v>1621620000</v>
      </c>
      <c r="AJ284" s="1">
        <f t="shared" si="197"/>
        <v>137840137438.24033</v>
      </c>
      <c r="AK284" s="1">
        <f t="shared" si="198"/>
        <v>137977977575.6786</v>
      </c>
      <c r="AL284" s="39">
        <f>+AJ284/('Volcano Summary'!C$8)*10^6</f>
        <v>9569.259048378784</v>
      </c>
      <c r="AM284" s="1">
        <f t="shared" si="208"/>
        <v>6499.205830773496</v>
      </c>
    </row>
    <row r="285" spans="1:39" ht="12.75" hidden="1">
      <c r="A285" s="1">
        <f t="shared" si="189"/>
        <v>1067730.3592895821</v>
      </c>
      <c r="B285" s="1">
        <f t="shared" si="190"/>
        <v>6511.400314927724</v>
      </c>
      <c r="C285" s="1">
        <f t="shared" si="200"/>
        <v>3600</v>
      </c>
      <c r="D285" s="12">
        <f t="shared" si="209"/>
        <v>67.70275002573075</v>
      </c>
      <c r="E285" s="38">
        <f t="shared" si="201"/>
        <v>714790541.8183397</v>
      </c>
      <c r="F285" s="38">
        <f t="shared" si="202"/>
        <v>459573173.1432697</v>
      </c>
      <c r="G285" s="38">
        <f t="shared" si="203"/>
        <v>204355804.46819976</v>
      </c>
      <c r="H285" s="18">
        <f t="shared" si="210"/>
        <v>0.007385224378772984</v>
      </c>
      <c r="I285" s="50">
        <f t="shared" si="218"/>
        <v>0.03518339499386929</v>
      </c>
      <c r="J285" s="3">
        <f t="shared" si="211"/>
        <v>27.483726643672284</v>
      </c>
      <c r="K285" s="12">
        <f t="shared" si="219"/>
        <v>0.9740628564022314</v>
      </c>
      <c r="L285" s="3">
        <f t="shared" si="212"/>
        <v>1539.0965981906293</v>
      </c>
      <c r="M285" s="12">
        <f t="shared" si="220"/>
        <v>0.766193043252853</v>
      </c>
      <c r="N285" s="37">
        <f t="shared" si="213"/>
        <v>5092.448883122757</v>
      </c>
      <c r="O285" s="1">
        <f t="shared" si="204"/>
        <v>91163.77908546418</v>
      </c>
      <c r="P285">
        <f t="shared" si="214"/>
        <v>301.9334017386354</v>
      </c>
      <c r="Q285" s="1">
        <f t="shared" si="215"/>
        <v>1537.5804144613685</v>
      </c>
      <c r="R285" s="1">
        <f>+Q285*1000/'Material Properties'!AE$35</f>
        <v>1318608.0718510353</v>
      </c>
      <c r="S285" s="1">
        <f t="shared" si="216"/>
        <v>366.2800199586209</v>
      </c>
      <c r="T285" s="1">
        <f t="shared" si="217"/>
        <v>39.919769478107355</v>
      </c>
      <c r="U285">
        <f t="shared" si="205"/>
        <v>0.00021014082415630832</v>
      </c>
      <c r="V285">
        <f>+'Material Properties'!AE$31+'Material Properties'!AE$33</f>
        <v>0.00029034311030761144</v>
      </c>
      <c r="W285">
        <f t="shared" si="191"/>
        <v>0.0005004839344639198</v>
      </c>
      <c r="X285" s="1">
        <f>+'Volcano Summary'!E$12*10^9/Q285/3600/24/365</f>
        <v>0</v>
      </c>
      <c r="Y285" s="3">
        <f t="shared" si="192"/>
        <v>40</v>
      </c>
      <c r="Z285" s="1">
        <f>+Y285*'Volcano Summary'!B$19*'Volcano Summary'!B$20/1000</f>
        <v>1620000</v>
      </c>
      <c r="AA285" s="1">
        <f t="shared" si="206"/>
        <v>1053603.4309252722</v>
      </c>
      <c r="AB285" s="3">
        <f t="shared" si="188"/>
        <v>292.6676197014645</v>
      </c>
      <c r="AC285" s="1">
        <f t="shared" si="193"/>
        <v>562584987.2097551</v>
      </c>
      <c r="AD285" s="36">
        <f t="shared" si="194"/>
        <v>156273.6075582654</v>
      </c>
      <c r="AE285" s="36">
        <f t="shared" si="186"/>
        <v>6511.400314927724</v>
      </c>
      <c r="AG285" s="1">
        <f t="shared" si="207"/>
        <v>1619999999.9999998</v>
      </c>
      <c r="AH285" s="1">
        <f t="shared" si="195"/>
        <v>1620000</v>
      </c>
      <c r="AI285" s="1">
        <f t="shared" si="196"/>
        <v>1621619999.9999998</v>
      </c>
      <c r="AJ285" s="1">
        <f t="shared" si="197"/>
        <v>139460137438.24033</v>
      </c>
      <c r="AK285" s="1">
        <f t="shared" si="198"/>
        <v>139599597575.6786</v>
      </c>
      <c r="AL285" s="39">
        <f>+AJ285/('Volcano Summary'!C$8)*10^6</f>
        <v>9681.724110779924</v>
      </c>
      <c r="AM285" s="1">
        <f t="shared" si="208"/>
        <v>6511.400314927724</v>
      </c>
    </row>
    <row r="286" spans="1:39" ht="12.75" hidden="1">
      <c r="A286" s="1">
        <f t="shared" si="189"/>
        <v>1053603.4309252722</v>
      </c>
      <c r="B286" s="1">
        <f t="shared" si="190"/>
        <v>6523.43518918645</v>
      </c>
      <c r="C286" s="1">
        <f t="shared" si="200"/>
        <v>3640</v>
      </c>
      <c r="D286" s="12">
        <f t="shared" si="209"/>
        <v>68.07783738365954</v>
      </c>
      <c r="E286" s="38">
        <f t="shared" si="201"/>
        <v>718750630.525242</v>
      </c>
      <c r="F286" s="38">
        <f t="shared" si="202"/>
        <v>462119304.38939697</v>
      </c>
      <c r="G286" s="38">
        <f t="shared" si="203"/>
        <v>205487978.25355205</v>
      </c>
      <c r="H286" s="18">
        <f t="shared" si="210"/>
        <v>0.007344534127636861</v>
      </c>
      <c r="I286" s="50">
        <f t="shared" si="218"/>
        <v>0.0351438359114567</v>
      </c>
      <c r="J286" s="3">
        <f t="shared" si="211"/>
        <v>27.31151022277636</v>
      </c>
      <c r="K286" s="12">
        <f t="shared" si="219"/>
        <v>0.9720823675619283</v>
      </c>
      <c r="L286" s="3">
        <f t="shared" si="212"/>
        <v>1535.9672686850124</v>
      </c>
      <c r="M286" s="12">
        <f t="shared" si="220"/>
        <v>0.7655902857797172</v>
      </c>
      <c r="N286" s="37">
        <f t="shared" si="213"/>
        <v>5149.031648490788</v>
      </c>
      <c r="O286" s="1">
        <f t="shared" si="204"/>
        <v>91552.09936746502</v>
      </c>
      <c r="P286">
        <f t="shared" si="214"/>
        <v>302.57577458789564</v>
      </c>
      <c r="Q286" s="1">
        <f t="shared" si="215"/>
        <v>1557.9722394196895</v>
      </c>
      <c r="R286" s="1">
        <f>+Q286*1000/'Material Properties'!AE$35</f>
        <v>1336095.823865121</v>
      </c>
      <c r="S286" s="1">
        <f t="shared" si="216"/>
        <v>367.0592922706376</v>
      </c>
      <c r="T286" s="1">
        <f t="shared" si="217"/>
        <v>42.880569644057005</v>
      </c>
      <c r="U286">
        <f t="shared" si="205"/>
        <v>0.0001959293830514242</v>
      </c>
      <c r="V286">
        <f>+'Material Properties'!AE$31+'Material Properties'!AE$33</f>
        <v>0.00029034311030761144</v>
      </c>
      <c r="W286">
        <f t="shared" si="191"/>
        <v>0.00048627249335903564</v>
      </c>
      <c r="X286" s="1">
        <f>+'Volcano Summary'!E$12*10^9/Q286/3600/24/365</f>
        <v>0</v>
      </c>
      <c r="Y286" s="3">
        <f t="shared" si="192"/>
        <v>40</v>
      </c>
      <c r="Z286" s="1">
        <f>+Y286*'Volcano Summary'!B$19*'Volcano Summary'!B$20/1000</f>
        <v>1620000</v>
      </c>
      <c r="AA286" s="1">
        <f t="shared" si="206"/>
        <v>1039813.1359538309</v>
      </c>
      <c r="AB286" s="3">
        <f t="shared" si="188"/>
        <v>288.8369822093975</v>
      </c>
      <c r="AC286" s="1">
        <f t="shared" si="193"/>
        <v>563624800.3457088</v>
      </c>
      <c r="AD286" s="36">
        <f t="shared" si="194"/>
        <v>156562.4445404748</v>
      </c>
      <c r="AE286" s="36">
        <f t="shared" si="186"/>
        <v>6523.43518918645</v>
      </c>
      <c r="AG286" s="1">
        <f t="shared" si="207"/>
        <v>1620000000</v>
      </c>
      <c r="AH286" s="1">
        <f t="shared" si="195"/>
        <v>1620000</v>
      </c>
      <c r="AI286" s="1">
        <f t="shared" si="196"/>
        <v>1621620000</v>
      </c>
      <c r="AJ286" s="1">
        <f t="shared" si="197"/>
        <v>141080137438.24033</v>
      </c>
      <c r="AK286" s="1">
        <f t="shared" si="198"/>
        <v>141221217575.6786</v>
      </c>
      <c r="AL286" s="39">
        <f>+AJ286/('Volcano Summary'!C$8)*10^6</f>
        <v>9794.189173181067</v>
      </c>
      <c r="AM286" s="1">
        <f t="shared" si="208"/>
        <v>6523.43518918645</v>
      </c>
    </row>
    <row r="287" spans="1:39" ht="12.75" hidden="1">
      <c r="A287" s="1">
        <f t="shared" si="189"/>
        <v>1039813.1359538309</v>
      </c>
      <c r="B287" s="1">
        <f t="shared" si="190"/>
        <v>6535.31421635551</v>
      </c>
      <c r="C287" s="1">
        <f t="shared" si="200"/>
        <v>3680</v>
      </c>
      <c r="D287" s="12">
        <f t="shared" si="209"/>
        <v>68.45086942198323</v>
      </c>
      <c r="E287" s="38">
        <f t="shared" si="201"/>
        <v>722689019.6259454</v>
      </c>
      <c r="F287" s="38">
        <f t="shared" si="202"/>
        <v>464651483.9163935</v>
      </c>
      <c r="G287" s="38">
        <f t="shared" si="203"/>
        <v>206613948.20684162</v>
      </c>
      <c r="H287" s="18">
        <f t="shared" si="210"/>
        <v>0.007304509120514156</v>
      </c>
      <c r="I287" s="50">
        <f t="shared" si="218"/>
        <v>0.035104796585080034</v>
      </c>
      <c r="J287" s="3">
        <f t="shared" si="211"/>
        <v>27.14233068295113</v>
      </c>
      <c r="K287" s="12">
        <f t="shared" si="219"/>
        <v>0.9701368028539382</v>
      </c>
      <c r="L287" s="3">
        <f t="shared" si="212"/>
        <v>1532.8931220794354</v>
      </c>
      <c r="M287" s="12">
        <f t="shared" si="220"/>
        <v>0.764998157390329</v>
      </c>
      <c r="N287" s="37">
        <f t="shared" si="213"/>
        <v>5205.614413858817</v>
      </c>
      <c r="O287" s="1">
        <f t="shared" si="204"/>
        <v>91938.3701305065</v>
      </c>
      <c r="P287">
        <f t="shared" si="214"/>
        <v>303.21340691088596</v>
      </c>
      <c r="Q287" s="1">
        <f t="shared" si="215"/>
        <v>1578.4120814905466</v>
      </c>
      <c r="R287" s="1">
        <f>+Q287*1000/'Material Properties'!AE$35</f>
        <v>1353624.754702494</v>
      </c>
      <c r="S287" s="1">
        <f t="shared" si="216"/>
        <v>367.83281377785164</v>
      </c>
      <c r="T287" s="1">
        <f t="shared" si="217"/>
        <v>45.77708950850024</v>
      </c>
      <c r="U287">
        <f t="shared" si="205"/>
        <v>0.00018377109820521054</v>
      </c>
      <c r="V287">
        <f>+'Material Properties'!AE$31+'Material Properties'!AE$33</f>
        <v>0.00029034311030761144</v>
      </c>
      <c r="W287">
        <f t="shared" si="191"/>
        <v>0.000474114208512822</v>
      </c>
      <c r="X287" s="1">
        <f>+'Volcano Summary'!E$12*10^9/Q287/3600/24/365</f>
        <v>0</v>
      </c>
      <c r="Y287" s="3">
        <f t="shared" si="192"/>
        <v>40</v>
      </c>
      <c r="Z287" s="1">
        <f>+Y287*'Volcano Summary'!B$19*'Volcano Summary'!B$20/1000</f>
        <v>1620000</v>
      </c>
      <c r="AA287" s="1">
        <f t="shared" si="206"/>
        <v>1026347.9474068524</v>
      </c>
      <c r="AB287" s="3">
        <f t="shared" si="188"/>
        <v>285.096652057459</v>
      </c>
      <c r="AC287" s="1">
        <f t="shared" si="193"/>
        <v>564651148.2931157</v>
      </c>
      <c r="AD287" s="36">
        <f t="shared" si="194"/>
        <v>156847.54119253226</v>
      </c>
      <c r="AE287" s="36">
        <f t="shared" si="186"/>
        <v>6535.31421635551</v>
      </c>
      <c r="AG287" s="1">
        <f t="shared" si="207"/>
        <v>1620000000</v>
      </c>
      <c r="AH287" s="1">
        <f t="shared" si="195"/>
        <v>1620000</v>
      </c>
      <c r="AI287" s="1">
        <f t="shared" si="196"/>
        <v>1621620000</v>
      </c>
      <c r="AJ287" s="1">
        <f t="shared" si="197"/>
        <v>142700137438.24033</v>
      </c>
      <c r="AK287" s="1">
        <f t="shared" si="198"/>
        <v>142842837575.6786</v>
      </c>
      <c r="AL287" s="39">
        <f>+AJ287/('Volcano Summary'!C$8)*10^6</f>
        <v>9906.654235582208</v>
      </c>
      <c r="AM287" s="1">
        <f t="shared" si="208"/>
        <v>6535.31421635551</v>
      </c>
    </row>
    <row r="288" spans="1:39" ht="12.75" hidden="1">
      <c r="A288" s="1">
        <f t="shared" si="189"/>
        <v>1026347.9474068524</v>
      </c>
      <c r="B288" s="1">
        <f t="shared" si="190"/>
        <v>6547.041031759984</v>
      </c>
      <c r="C288" s="1">
        <f t="shared" si="200"/>
        <v>3720</v>
      </c>
      <c r="D288" s="12">
        <f t="shared" si="209"/>
        <v>68.82187956177022</v>
      </c>
      <c r="E288" s="38">
        <f t="shared" si="201"/>
        <v>726606061.9726394</v>
      </c>
      <c r="F288" s="38">
        <f t="shared" si="202"/>
        <v>467169938.58988065</v>
      </c>
      <c r="G288" s="38">
        <f t="shared" si="203"/>
        <v>207733815.20712173</v>
      </c>
      <c r="H288" s="18">
        <f t="shared" si="210"/>
        <v>0.007265131425991225</v>
      </c>
      <c r="I288" s="50">
        <f t="shared" si="218"/>
        <v>0.03506626455185374</v>
      </c>
      <c r="J288" s="3">
        <f t="shared" si="211"/>
        <v>26.97610205877947</v>
      </c>
      <c r="K288" s="12">
        <f t="shared" si="219"/>
        <v>0.9682251736759642</v>
      </c>
      <c r="L288" s="3">
        <f t="shared" si="212"/>
        <v>1529.8725963038312</v>
      </c>
      <c r="M288" s="12">
        <f t="shared" si="220"/>
        <v>0.7644163572057282</v>
      </c>
      <c r="N288" s="37">
        <f t="shared" si="213"/>
        <v>5262.197179226848</v>
      </c>
      <c r="O288" s="1">
        <f t="shared" si="204"/>
        <v>92322.62229994911</v>
      </c>
      <c r="P288">
        <f t="shared" si="214"/>
        <v>303.8463794418968</v>
      </c>
      <c r="Q288" s="1">
        <f t="shared" si="215"/>
        <v>1598.8995608174396</v>
      </c>
      <c r="R288" s="1">
        <f>+Q288*1000/'Material Properties'!AE$35</f>
        <v>1371194.5386033808</v>
      </c>
      <c r="S288" s="1">
        <f t="shared" si="216"/>
        <v>368.60068242026364</v>
      </c>
      <c r="T288" s="1">
        <f t="shared" si="217"/>
        <v>48.611436045456</v>
      </c>
      <c r="U288">
        <f t="shared" si="205"/>
        <v>0.00017325088272787537</v>
      </c>
      <c r="V288">
        <f>+'Material Properties'!AE$31+'Material Properties'!AE$33</f>
        <v>0.00029034311030761144</v>
      </c>
      <c r="W288">
        <f t="shared" si="191"/>
        <v>0.00046359399303548684</v>
      </c>
      <c r="X288" s="1">
        <f>+'Volcano Summary'!E$12*10^9/Q288/3600/24/365</f>
        <v>0</v>
      </c>
      <c r="Y288" s="3">
        <f t="shared" si="192"/>
        <v>40</v>
      </c>
      <c r="Z288" s="1">
        <f>+Y288*'Volcano Summary'!B$19*'Volcano Summary'!B$20/1000</f>
        <v>1620000</v>
      </c>
      <c r="AA288" s="1">
        <f t="shared" si="206"/>
        <v>1013196.8509465177</v>
      </c>
      <c r="AB288" s="3">
        <f t="shared" si="188"/>
        <v>281.443569707366</v>
      </c>
      <c r="AC288" s="1">
        <f t="shared" si="193"/>
        <v>565664345.1440623</v>
      </c>
      <c r="AD288" s="36">
        <f t="shared" si="194"/>
        <v>157128.98476223962</v>
      </c>
      <c r="AE288" s="36">
        <f t="shared" si="186"/>
        <v>6547.041031759984</v>
      </c>
      <c r="AG288" s="1">
        <f t="shared" si="207"/>
        <v>1619999999.9999998</v>
      </c>
      <c r="AH288" s="1">
        <f t="shared" si="195"/>
        <v>1620000</v>
      </c>
      <c r="AI288" s="1">
        <f t="shared" si="196"/>
        <v>1621619999.9999998</v>
      </c>
      <c r="AJ288" s="1">
        <f t="shared" si="197"/>
        <v>144320137438.24033</v>
      </c>
      <c r="AK288" s="1">
        <f t="shared" si="198"/>
        <v>144464457575.6786</v>
      </c>
      <c r="AL288" s="39">
        <f>+AJ288/('Volcano Summary'!C$8)*10^6</f>
        <v>10019.11929798335</v>
      </c>
      <c r="AM288" s="1">
        <f t="shared" si="208"/>
        <v>6547.041031759984</v>
      </c>
    </row>
    <row r="289" spans="1:39" ht="12.75" hidden="1">
      <c r="A289" s="1">
        <f t="shared" si="189"/>
        <v>1013196.8509465177</v>
      </c>
      <c r="B289" s="1">
        <f t="shared" si="190"/>
        <v>6558.619148853963</v>
      </c>
      <c r="C289" s="1">
        <f t="shared" si="200"/>
        <v>3760</v>
      </c>
      <c r="D289" s="12">
        <f t="shared" si="209"/>
        <v>69.190900328036</v>
      </c>
      <c r="E289" s="38">
        <f t="shared" si="201"/>
        <v>730502100.9571873</v>
      </c>
      <c r="F289" s="38">
        <f t="shared" si="202"/>
        <v>469674889.19298124</v>
      </c>
      <c r="G289" s="38">
        <f t="shared" si="203"/>
        <v>208847677.42877528</v>
      </c>
      <c r="H289" s="18">
        <f t="shared" si="210"/>
        <v>0.007226383782108428</v>
      </c>
      <c r="I289" s="50">
        <f t="shared" si="218"/>
        <v>0.03502822777907029</v>
      </c>
      <c r="J289" s="3">
        <f t="shared" si="211"/>
        <v>26.812741713867347</v>
      </c>
      <c r="K289" s="12">
        <f t="shared" si="219"/>
        <v>0.9663465297094747</v>
      </c>
      <c r="L289" s="3">
        <f t="shared" si="212"/>
        <v>1526.904189779518</v>
      </c>
      <c r="M289" s="12">
        <f t="shared" si="220"/>
        <v>0.7638445959985357</v>
      </c>
      <c r="N289" s="37">
        <f t="shared" si="213"/>
        <v>5318.7799445948785</v>
      </c>
      <c r="O289" s="1">
        <f t="shared" si="204"/>
        <v>92704.88601143938</v>
      </c>
      <c r="P289">
        <f t="shared" si="214"/>
        <v>304.4747707305802</v>
      </c>
      <c r="Q289" s="1">
        <f t="shared" si="215"/>
        <v>1619.4343041969337</v>
      </c>
      <c r="R289" s="1">
        <f>+Q289*1000/'Material Properties'!AE$35</f>
        <v>1388804.855513587</v>
      </c>
      <c r="S289" s="1">
        <f t="shared" si="216"/>
        <v>369.36299348765607</v>
      </c>
      <c r="T289" s="1">
        <f t="shared" si="217"/>
        <v>51.385624787223605</v>
      </c>
      <c r="U289">
        <f t="shared" si="205"/>
        <v>0.00016405847754345044</v>
      </c>
      <c r="V289">
        <f>+'Material Properties'!AE$31+'Material Properties'!AE$33</f>
        <v>0.00029034311030761144</v>
      </c>
      <c r="W289">
        <f t="shared" si="191"/>
        <v>0.0004544015878510619</v>
      </c>
      <c r="X289" s="1">
        <f>+'Volcano Summary'!E$12*10^9/Q289/3600/24/365</f>
        <v>0</v>
      </c>
      <c r="Y289" s="3">
        <f t="shared" si="192"/>
        <v>40</v>
      </c>
      <c r="Z289" s="1">
        <f>+Y289*'Volcano Summary'!B$19*'Volcano Summary'!B$20/1000</f>
        <v>1620000</v>
      </c>
      <c r="AA289" s="1">
        <f t="shared" si="206"/>
        <v>1000349.3169198653</v>
      </c>
      <c r="AB289" s="3">
        <f t="shared" si="188"/>
        <v>277.8748102555181</v>
      </c>
      <c r="AC289" s="1">
        <f t="shared" si="193"/>
        <v>566664694.4609822</v>
      </c>
      <c r="AD289" s="36">
        <f t="shared" si="194"/>
        <v>157406.85957249513</v>
      </c>
      <c r="AE289" s="36">
        <f t="shared" si="186"/>
        <v>6558.619148853963</v>
      </c>
      <c r="AG289" s="1">
        <f t="shared" si="207"/>
        <v>1620000000</v>
      </c>
      <c r="AH289" s="1">
        <f t="shared" si="195"/>
        <v>1620000</v>
      </c>
      <c r="AI289" s="1">
        <f t="shared" si="196"/>
        <v>1621620000</v>
      </c>
      <c r="AJ289" s="1">
        <f t="shared" si="197"/>
        <v>145940137438.24033</v>
      </c>
      <c r="AK289" s="1">
        <f t="shared" si="198"/>
        <v>146086077575.6786</v>
      </c>
      <c r="AL289" s="39">
        <f>+AJ289/('Volcano Summary'!C$8)*10^6</f>
        <v>10131.58436038449</v>
      </c>
      <c r="AM289" s="1">
        <f t="shared" si="208"/>
        <v>6558.619148853963</v>
      </c>
    </row>
    <row r="290" spans="1:39" ht="12.75" hidden="1">
      <c r="A290" s="1">
        <f t="shared" si="189"/>
        <v>1000349.3169198653</v>
      </c>
      <c r="B290" s="1">
        <f t="shared" si="190"/>
        <v>6570.051964527712</v>
      </c>
      <c r="C290" s="1">
        <f t="shared" si="200"/>
        <v>3800</v>
      </c>
      <c r="D290" s="12">
        <f t="shared" si="209"/>
        <v>69.55796338302048</v>
      </c>
      <c r="E290" s="38">
        <f t="shared" si="201"/>
        <v>734377470.8624592</v>
      </c>
      <c r="F290" s="38">
        <f t="shared" si="202"/>
        <v>472166550.6522096</v>
      </c>
      <c r="G290" s="38">
        <f t="shared" si="203"/>
        <v>209955630.4419602</v>
      </c>
      <c r="H290" s="18">
        <f t="shared" si="210"/>
        <v>0.007188249564564638</v>
      </c>
      <c r="I290" s="50">
        <f t="shared" si="218"/>
        <v>0.03499067464492672</v>
      </c>
      <c r="J290" s="3">
        <f t="shared" si="211"/>
        <v>26.65217017802174</v>
      </c>
      <c r="K290" s="12">
        <f t="shared" si="219"/>
        <v>0.9644999570472502</v>
      </c>
      <c r="L290" s="3">
        <f t="shared" si="212"/>
        <v>1523.9864584605775</v>
      </c>
      <c r="M290" s="12">
        <f t="shared" si="220"/>
        <v>0.7632825956230761</v>
      </c>
      <c r="N290" s="37">
        <f t="shared" si="213"/>
        <v>5375.36270996291</v>
      </c>
      <c r="O290" s="1">
        <f t="shared" si="204"/>
        <v>93085.19063921337</v>
      </c>
      <c r="P290">
        <f t="shared" si="214"/>
        <v>305.09865722289464</v>
      </c>
      <c r="Q290" s="1">
        <f t="shared" si="215"/>
        <v>1640.015944895704</v>
      </c>
      <c r="R290" s="1">
        <f>+Q290*1000/'Material Properties'!AE$35</f>
        <v>1406455.3909275953</v>
      </c>
      <c r="S290" s="1">
        <f t="shared" si="216"/>
        <v>370.11983971778824</v>
      </c>
      <c r="T290" s="1">
        <f t="shared" si="217"/>
        <v>54.101584734759626</v>
      </c>
      <c r="U290">
        <f t="shared" si="205"/>
        <v>0.0001559573245273964</v>
      </c>
      <c r="V290">
        <f>+'Material Properties'!AE$31+'Material Properties'!AE$33</f>
        <v>0.00029034311030761144</v>
      </c>
      <c r="W290">
        <f t="shared" si="191"/>
        <v>0.00044630043483500785</v>
      </c>
      <c r="X290" s="1">
        <f>+'Volcano Summary'!E$12*10^9/Q290/3600/24/365</f>
        <v>0</v>
      </c>
      <c r="Y290" s="3">
        <f t="shared" si="192"/>
        <v>40</v>
      </c>
      <c r="Z290" s="1">
        <f>+Y290*'Volcano Summary'!B$19*'Volcano Summary'!B$20/1000</f>
        <v>1620000</v>
      </c>
      <c r="AA290" s="1">
        <f t="shared" si="206"/>
        <v>987795.2742118144</v>
      </c>
      <c r="AB290" s="3">
        <f t="shared" si="188"/>
        <v>274.38757616994843</v>
      </c>
      <c r="AC290" s="1">
        <f t="shared" si="193"/>
        <v>567652489.735194</v>
      </c>
      <c r="AD290" s="36">
        <f t="shared" si="194"/>
        <v>157681.24714866508</v>
      </c>
      <c r="AE290" s="36">
        <f t="shared" si="186"/>
        <v>6570.051964527712</v>
      </c>
      <c r="AG290" s="1">
        <f t="shared" si="207"/>
        <v>1619999999.9999998</v>
      </c>
      <c r="AH290" s="1">
        <f t="shared" si="195"/>
        <v>1620000</v>
      </c>
      <c r="AI290" s="1">
        <f t="shared" si="196"/>
        <v>1621619999.9999998</v>
      </c>
      <c r="AJ290" s="1">
        <f t="shared" si="197"/>
        <v>147560137438.24033</v>
      </c>
      <c r="AK290" s="1">
        <f t="shared" si="198"/>
        <v>147707697575.6786</v>
      </c>
      <c r="AL290" s="39">
        <f>+AJ290/('Volcano Summary'!C$8)*10^6</f>
        <v>10244.049422785632</v>
      </c>
      <c r="AM290" s="1">
        <f t="shared" si="208"/>
        <v>6570.051964527712</v>
      </c>
    </row>
    <row r="291" spans="1:39" ht="12.75" hidden="1">
      <c r="A291" s="1">
        <f t="shared" si="189"/>
        <v>987795.2742118144</v>
      </c>
      <c r="B291" s="1">
        <f t="shared" si="190"/>
        <v>6581.342764131459</v>
      </c>
      <c r="C291" s="1">
        <f t="shared" si="200"/>
        <v>3840</v>
      </c>
      <c r="D291" s="12">
        <f t="shared" si="209"/>
        <v>69.92309955789307</v>
      </c>
      <c r="E291" s="38">
        <f t="shared" si="201"/>
        <v>738232497.1970683</v>
      </c>
      <c r="F291" s="38">
        <f t="shared" si="202"/>
        <v>474645132.2526884</v>
      </c>
      <c r="G291" s="38">
        <f t="shared" si="203"/>
        <v>211057767.3083086</v>
      </c>
      <c r="H291" s="18">
        <f t="shared" si="210"/>
        <v>0.0071507127567481945</v>
      </c>
      <c r="I291" s="50">
        <f t="shared" si="218"/>
        <v>0.034953593920308584</v>
      </c>
      <c r="J291" s="3">
        <f t="shared" si="211"/>
        <v>26.494310994014675</v>
      </c>
      <c r="K291" s="12">
        <f t="shared" si="219"/>
        <v>0.9626845764311689</v>
      </c>
      <c r="L291" s="3">
        <f t="shared" si="212"/>
        <v>1521.118013049414</v>
      </c>
      <c r="M291" s="12">
        <f t="shared" si="220"/>
        <v>0.7627300884790513</v>
      </c>
      <c r="N291" s="37">
        <f t="shared" si="213"/>
        <v>5431.945475330943</v>
      </c>
      <c r="O291" s="1">
        <f t="shared" si="204"/>
        <v>93463.56482309935</v>
      </c>
      <c r="P291">
        <f t="shared" si="214"/>
        <v>305.7181133382505</v>
      </c>
      <c r="Q291" s="1">
        <f t="shared" si="215"/>
        <v>1660.644122474422</v>
      </c>
      <c r="R291" s="1">
        <f>+Q291*1000/'Material Properties'!AE$35</f>
        <v>1424145.8357375357</v>
      </c>
      <c r="S291" s="1">
        <f t="shared" si="216"/>
        <v>370.87131138998325</v>
      </c>
      <c r="T291" s="1">
        <f t="shared" si="217"/>
        <v>56.7611629551177</v>
      </c>
      <c r="U291">
        <f t="shared" si="205"/>
        <v>0.00014876390902273106</v>
      </c>
      <c r="V291">
        <f>+'Material Properties'!AE$31+'Material Properties'!AE$33</f>
        <v>0.00029034311030761144</v>
      </c>
      <c r="W291">
        <f t="shared" si="191"/>
        <v>0.0004391070193303425</v>
      </c>
      <c r="X291" s="1">
        <f>+'Volcano Summary'!E$12*10^9/Q291/3600/24/365</f>
        <v>0</v>
      </c>
      <c r="Y291" s="3">
        <f t="shared" si="192"/>
        <v>40</v>
      </c>
      <c r="Z291" s="1">
        <f>+Y291*'Volcano Summary'!B$19*'Volcano Summary'!B$20/1000</f>
        <v>1620000</v>
      </c>
      <c r="AA291" s="1">
        <f t="shared" si="206"/>
        <v>975525.0857637934</v>
      </c>
      <c r="AB291" s="3">
        <f t="shared" si="188"/>
        <v>270.9791904899426</v>
      </c>
      <c r="AC291" s="1">
        <f t="shared" si="193"/>
        <v>568628014.8209578</v>
      </c>
      <c r="AD291" s="36">
        <f t="shared" si="194"/>
        <v>157952.22633915502</v>
      </c>
      <c r="AE291" s="36">
        <f t="shared" si="186"/>
        <v>6581.342764131459</v>
      </c>
      <c r="AG291" s="1">
        <f t="shared" si="207"/>
        <v>1620000000</v>
      </c>
      <c r="AH291" s="1">
        <f t="shared" si="195"/>
        <v>1620000</v>
      </c>
      <c r="AI291" s="1">
        <f t="shared" si="196"/>
        <v>1621620000</v>
      </c>
      <c r="AJ291" s="1">
        <f t="shared" si="197"/>
        <v>149180137438.24033</v>
      </c>
      <c r="AK291" s="1">
        <f t="shared" si="198"/>
        <v>149329317575.6786</v>
      </c>
      <c r="AL291" s="39">
        <f>+AJ291/('Volcano Summary'!C$8)*10^6</f>
        <v>10356.514485186775</v>
      </c>
      <c r="AM291" s="1">
        <f t="shared" si="208"/>
        <v>6581.342764131459</v>
      </c>
    </row>
    <row r="292" spans="1:39" ht="12.75" hidden="1">
      <c r="A292" s="1">
        <f t="shared" si="189"/>
        <v>975525.0857637934</v>
      </c>
      <c r="B292" s="1">
        <f t="shared" si="190"/>
        <v>6592.494726233726</v>
      </c>
      <c r="C292" s="1">
        <f t="shared" si="200"/>
        <v>3880</v>
      </c>
      <c r="D292" s="12">
        <f t="shared" si="209"/>
        <v>70.2863388829752</v>
      </c>
      <c r="E292" s="38">
        <f t="shared" si="201"/>
        <v>742067497.014454</v>
      </c>
      <c r="F292" s="38">
        <f t="shared" si="202"/>
        <v>477110837.84330285</v>
      </c>
      <c r="G292" s="38">
        <f t="shared" si="203"/>
        <v>212154178.67215177</v>
      </c>
      <c r="H292" s="18">
        <f t="shared" si="210"/>
        <v>0.007113757921471569</v>
      </c>
      <c r="I292" s="50">
        <f t="shared" si="218"/>
        <v>0.03491697475156271</v>
      </c>
      <c r="J292" s="3">
        <f t="shared" si="211"/>
        <v>26.3390905732752</v>
      </c>
      <c r="K292" s="12">
        <f t="shared" si="219"/>
        <v>0.960899541592665</v>
      </c>
      <c r="L292" s="3">
        <f t="shared" si="212"/>
        <v>1518.2975163745477</v>
      </c>
      <c r="M292" s="12">
        <f t="shared" si="220"/>
        <v>0.7621868170064632</v>
      </c>
      <c r="N292" s="37">
        <f t="shared" si="213"/>
        <v>5488.528240698973</v>
      </c>
      <c r="O292" s="1">
        <f t="shared" si="204"/>
        <v>93840.03649429316</v>
      </c>
      <c r="P292">
        <f t="shared" si="214"/>
        <v>306.3332115430731</v>
      </c>
      <c r="Q292" s="1">
        <f t="shared" si="215"/>
        <v>1681.3184826181691</v>
      </c>
      <c r="R292" s="1">
        <f>+Q292*1000/'Material Properties'!AE$35</f>
        <v>1441875.886087748</v>
      </c>
      <c r="S292" s="1">
        <f t="shared" si="216"/>
        <v>371.617496414368</v>
      </c>
      <c r="T292" s="1">
        <f t="shared" si="217"/>
        <v>59.366128888962976</v>
      </c>
      <c r="U292">
        <f t="shared" si="205"/>
        <v>0.00014233368159093657</v>
      </c>
      <c r="V292">
        <f>+'Material Properties'!AE$31+'Material Properties'!AE$33</f>
        <v>0.00029034311030761144</v>
      </c>
      <c r="W292">
        <f t="shared" si="191"/>
        <v>0.00043267679189854804</v>
      </c>
      <c r="X292" s="1">
        <f>+'Volcano Summary'!E$12*10^9/Q292/3600/24/365</f>
        <v>0</v>
      </c>
      <c r="Y292" s="3">
        <f t="shared" si="192"/>
        <v>40</v>
      </c>
      <c r="Z292" s="1">
        <f>+Y292*'Volcano Summary'!B$19*'Volcano Summary'!B$20/1000</f>
        <v>1620000</v>
      </c>
      <c r="AA292" s="1">
        <f t="shared" si="206"/>
        <v>963529.5256359264</v>
      </c>
      <c r="AB292" s="3">
        <f t="shared" si="188"/>
        <v>267.647090454424</v>
      </c>
      <c r="AC292" s="1">
        <f t="shared" si="193"/>
        <v>569591544.3465937</v>
      </c>
      <c r="AD292" s="36">
        <f t="shared" si="194"/>
        <v>158219.87342960943</v>
      </c>
      <c r="AE292" s="36">
        <f t="shared" si="186"/>
        <v>6592.494726233726</v>
      </c>
      <c r="AG292" s="1">
        <f t="shared" si="207"/>
        <v>1620000000</v>
      </c>
      <c r="AH292" s="1">
        <f t="shared" si="195"/>
        <v>1620000</v>
      </c>
      <c r="AI292" s="1">
        <f t="shared" si="196"/>
        <v>1621620000</v>
      </c>
      <c r="AJ292" s="1">
        <f t="shared" si="197"/>
        <v>150800137438.24033</v>
      </c>
      <c r="AK292" s="1">
        <f t="shared" si="198"/>
        <v>150950937575.6786</v>
      </c>
      <c r="AL292" s="39">
        <f>+AJ292/('Volcano Summary'!C$8)*10^6</f>
        <v>10468.979547587916</v>
      </c>
      <c r="AM292" s="1">
        <f t="shared" si="208"/>
        <v>6592.494726233726</v>
      </c>
    </row>
    <row r="293" spans="1:39" ht="12.75" hidden="1">
      <c r="A293" s="1">
        <f t="shared" si="189"/>
        <v>963529.5256359264</v>
      </c>
      <c r="B293" s="1">
        <f t="shared" si="190"/>
        <v>6603.5109271307265</v>
      </c>
      <c r="C293" s="1">
        <f t="shared" si="200"/>
        <v>3920</v>
      </c>
      <c r="D293" s="12">
        <f t="shared" si="209"/>
        <v>70.64771061656448</v>
      </c>
      <c r="E293" s="38">
        <f t="shared" si="201"/>
        <v>745882779.2171997</v>
      </c>
      <c r="F293" s="38">
        <f t="shared" si="202"/>
        <v>479563866.03236145</v>
      </c>
      <c r="G293" s="38">
        <f t="shared" si="203"/>
        <v>213244952.8475233</v>
      </c>
      <c r="H293" s="18">
        <f t="shared" si="210"/>
        <v>0.007077370174296448</v>
      </c>
      <c r="I293" s="50">
        <f t="shared" si="218"/>
        <v>0.034880806644195586</v>
      </c>
      <c r="J293" s="3">
        <f t="shared" si="211"/>
        <v>26.18643805990312</v>
      </c>
      <c r="K293" s="12">
        <f t="shared" si="219"/>
        <v>0.9591440376888861</v>
      </c>
      <c r="L293" s="3">
        <f t="shared" si="212"/>
        <v>1515.5236809196203</v>
      </c>
      <c r="M293" s="12">
        <f t="shared" si="220"/>
        <v>0.761652533209661</v>
      </c>
      <c r="N293" s="37">
        <f t="shared" si="213"/>
        <v>5545.111006067002</v>
      </c>
      <c r="O293" s="1">
        <f t="shared" si="204"/>
        <v>94214.63289997372</v>
      </c>
      <c r="P293">
        <f t="shared" si="214"/>
        <v>306.9440224209843</v>
      </c>
      <c r="Q293" s="1">
        <f t="shared" si="215"/>
        <v>1702.0386769730765</v>
      </c>
      <c r="R293" s="1">
        <f>+Q293*1000/'Material Properties'!AE$35</f>
        <v>1459645.2432346875</v>
      </c>
      <c r="S293" s="1">
        <f t="shared" si="216"/>
        <v>372.3584804170121</v>
      </c>
      <c r="T293" s="1">
        <f t="shared" si="217"/>
        <v>61.91817838925249</v>
      </c>
      <c r="U293">
        <f t="shared" si="205"/>
        <v>0.00013655123755494932</v>
      </c>
      <c r="V293">
        <f>+'Material Properties'!AE$31+'Material Properties'!AE$33</f>
        <v>0.00029034311030761144</v>
      </c>
      <c r="W293">
        <f t="shared" si="191"/>
        <v>0.00042689434786256073</v>
      </c>
      <c r="X293" s="1">
        <f>+'Volcano Summary'!E$12*10^9/Q293/3600/24/365</f>
        <v>0</v>
      </c>
      <c r="Y293" s="3">
        <f t="shared" si="192"/>
        <v>40</v>
      </c>
      <c r="Z293" s="1">
        <f>+Y293*'Volcano Summary'!B$19*'Volcano Summary'!B$20/1000</f>
        <v>1620000</v>
      </c>
      <c r="AA293" s="1">
        <f t="shared" si="206"/>
        <v>951799.7575008254</v>
      </c>
      <c r="AB293" s="3">
        <f t="shared" si="188"/>
        <v>264.38882152800704</v>
      </c>
      <c r="AC293" s="1">
        <f t="shared" si="193"/>
        <v>570543344.1040945</v>
      </c>
      <c r="AD293" s="36">
        <f t="shared" si="194"/>
        <v>158484.26225113744</v>
      </c>
      <c r="AE293" s="36">
        <f aca="true" t="shared" si="221" ref="AE293:AE356">+AD293/24</f>
        <v>6603.5109271307265</v>
      </c>
      <c r="AG293" s="1">
        <f t="shared" si="207"/>
        <v>1620000000</v>
      </c>
      <c r="AH293" s="1">
        <f t="shared" si="195"/>
        <v>1620000</v>
      </c>
      <c r="AI293" s="1">
        <f t="shared" si="196"/>
        <v>1621620000</v>
      </c>
      <c r="AJ293" s="1">
        <f t="shared" si="197"/>
        <v>152420137438.24033</v>
      </c>
      <c r="AK293" s="1">
        <f t="shared" si="198"/>
        <v>152572557575.6786</v>
      </c>
      <c r="AL293" s="39">
        <f>+AJ293/('Volcano Summary'!C$8)*10^6</f>
        <v>10581.444609989057</v>
      </c>
      <c r="AM293" s="1">
        <f t="shared" si="208"/>
        <v>6603.5109271307265</v>
      </c>
    </row>
    <row r="294" spans="1:39" ht="12.75" hidden="1">
      <c r="A294" s="1">
        <f t="shared" si="189"/>
        <v>951799.7575008254</v>
      </c>
      <c r="B294" s="1">
        <f t="shared" si="190"/>
        <v>6614.394345122233</v>
      </c>
      <c r="C294" s="1">
        <f t="shared" si="200"/>
        <v>3960</v>
      </c>
      <c r="D294" s="12">
        <f t="shared" si="209"/>
        <v>71.00724327243837</v>
      </c>
      <c r="E294" s="38">
        <f t="shared" si="201"/>
        <v>749678644.8474113</v>
      </c>
      <c r="F294" s="38">
        <f t="shared" si="202"/>
        <v>482004410.3742942</v>
      </c>
      <c r="G294" s="38">
        <f t="shared" si="203"/>
        <v>214330175.90117732</v>
      </c>
      <c r="H294" s="18">
        <f t="shared" si="210"/>
        <v>0.0070415351583445595</v>
      </c>
      <c r="I294" s="50">
        <f t="shared" si="218"/>
        <v>0.034845079447438754</v>
      </c>
      <c r="J294" s="3">
        <f t="shared" si="211"/>
        <v>26.03628520244494</v>
      </c>
      <c r="K294" s="12">
        <f t="shared" si="219"/>
        <v>0.957417279828117</v>
      </c>
      <c r="L294" s="3">
        <f t="shared" si="212"/>
        <v>1512.7952664934458</v>
      </c>
      <c r="M294" s="12">
        <f t="shared" si="220"/>
        <v>0.7611269982085573</v>
      </c>
      <c r="N294" s="37">
        <f t="shared" si="213"/>
        <v>5601.693771435032</v>
      </c>
      <c r="O294" s="1">
        <f t="shared" si="204"/>
        <v>94587.38062682169</v>
      </c>
      <c r="P294">
        <f t="shared" si="214"/>
        <v>307.5506147397883</v>
      </c>
      <c r="Q294" s="1">
        <f t="shared" si="215"/>
        <v>1722.8043629888873</v>
      </c>
      <c r="R294" s="1">
        <f>+Q294*1000/'Material Properties'!AE$35</f>
        <v>1477453.613411908</v>
      </c>
      <c r="S294" s="1">
        <f t="shared" si="216"/>
        <v>373.0943468211889</v>
      </c>
      <c r="T294" s="1">
        <f t="shared" si="217"/>
        <v>64.41893751043972</v>
      </c>
      <c r="U294">
        <f t="shared" si="205"/>
        <v>0.00013132332409156256</v>
      </c>
      <c r="V294">
        <f>+'Material Properties'!AE$31+'Material Properties'!AE$33</f>
        <v>0.00029034311030761144</v>
      </c>
      <c r="W294">
        <f t="shared" si="191"/>
        <v>0.000421666434399174</v>
      </c>
      <c r="X294" s="1">
        <f>+'Volcano Summary'!E$12*10^9/Q294/3600/24/365</f>
        <v>0</v>
      </c>
      <c r="Y294" s="3">
        <f t="shared" si="192"/>
        <v>40</v>
      </c>
      <c r="Z294" s="1">
        <f>+Y294*'Volcano Summary'!B$19*'Volcano Summary'!B$20/1000</f>
        <v>1620000</v>
      </c>
      <c r="AA294" s="1">
        <f t="shared" si="206"/>
        <v>940327.3144662041</v>
      </c>
      <c r="AB294" s="3">
        <f t="shared" si="188"/>
        <v>261.20203179616783</v>
      </c>
      <c r="AC294" s="1">
        <f t="shared" si="193"/>
        <v>571483671.4185607</v>
      </c>
      <c r="AD294" s="36">
        <f t="shared" si="194"/>
        <v>158745.4642829336</v>
      </c>
      <c r="AE294" s="36">
        <f t="shared" si="221"/>
        <v>6614.394345122233</v>
      </c>
      <c r="AG294" s="1">
        <f t="shared" si="207"/>
        <v>1620000000</v>
      </c>
      <c r="AH294" s="1">
        <f t="shared" si="195"/>
        <v>1620000</v>
      </c>
      <c r="AI294" s="1">
        <f t="shared" si="196"/>
        <v>1621620000</v>
      </c>
      <c r="AJ294" s="1">
        <f t="shared" si="197"/>
        <v>154040137438.24033</v>
      </c>
      <c r="AK294" s="1">
        <f t="shared" si="198"/>
        <v>154194177575.6786</v>
      </c>
      <c r="AL294" s="39">
        <f>+AJ294/('Volcano Summary'!C$8)*10^6</f>
        <v>10693.909672390198</v>
      </c>
      <c r="AM294" s="1">
        <f t="shared" si="208"/>
        <v>6614.394345122233</v>
      </c>
    </row>
    <row r="295" spans="1:39" ht="12.75" hidden="1">
      <c r="A295" s="1">
        <f t="shared" si="189"/>
        <v>940327.3144662041</v>
      </c>
      <c r="B295" s="1">
        <f t="shared" si="190"/>
        <v>6635.737390647748</v>
      </c>
      <c r="C295" s="1">
        <f t="shared" si="200"/>
        <v>4000</v>
      </c>
      <c r="D295" s="12">
        <f t="shared" si="209"/>
        <v>71.36496464611085</v>
      </c>
      <c r="E295" s="38">
        <f t="shared" si="201"/>
        <v>753455387.363929</v>
      </c>
      <c r="F295" s="38">
        <f t="shared" si="202"/>
        <v>484432659.54788554</v>
      </c>
      <c r="G295" s="38">
        <f t="shared" si="203"/>
        <v>215409931.73184192</v>
      </c>
      <c r="H295" s="18">
        <f t="shared" si="210"/>
        <v>0.00700623902049741</v>
      </c>
      <c r="I295" s="50">
        <v>0.034</v>
      </c>
      <c r="J295" s="3">
        <f t="shared" si="211"/>
        <v>25.3212126696912</v>
      </c>
      <c r="K295" s="12">
        <f t="shared" si="219"/>
        <v>0.949193945701449</v>
      </c>
      <c r="L295" s="3">
        <f t="shared" si="212"/>
        <v>1499.8017461092609</v>
      </c>
      <c r="M295" s="12">
        <f t="shared" si="220"/>
        <v>0.7586242443439192</v>
      </c>
      <c r="N295" s="37">
        <f t="shared" si="213"/>
        <v>5658.276536803064</v>
      </c>
      <c r="O295" s="1">
        <f t="shared" si="204"/>
        <v>96423.17243018576</v>
      </c>
      <c r="P295">
        <f t="shared" si="214"/>
        <v>310.52080836907817</v>
      </c>
      <c r="Q295" s="1">
        <f t="shared" si="215"/>
        <v>1757.0126041838755</v>
      </c>
      <c r="R295" s="1">
        <f>+Q295*1000/'Material Properties'!AE$35</f>
        <v>1506790.1362625454</v>
      </c>
      <c r="S295" s="1">
        <f t="shared" si="216"/>
        <v>376.6975340656363</v>
      </c>
      <c r="T295" s="1">
        <f t="shared" si="217"/>
        <v>76.19900894988882</v>
      </c>
      <c r="U295">
        <f t="shared" si="205"/>
        <v>0.00011125823946161591</v>
      </c>
      <c r="V295">
        <f>+'Material Properties'!AE$31+'Material Properties'!AE$33</f>
        <v>0.00029034311030761144</v>
      </c>
      <c r="W295">
        <f t="shared" si="191"/>
        <v>0.0004016013497692274</v>
      </c>
      <c r="X295" s="1">
        <f>+'Volcano Summary'!E$12*10^9/Q295/3600/24/365</f>
        <v>0</v>
      </c>
      <c r="Y295" s="3">
        <f t="shared" si="192"/>
        <v>80</v>
      </c>
      <c r="Z295" s="1">
        <f>+Y295*'Volcano Summary'!B$19*'Volcano Summary'!B$20/1000</f>
        <v>3240000</v>
      </c>
      <c r="AA295" s="1">
        <f t="shared" si="206"/>
        <v>1844039.1334044898</v>
      </c>
      <c r="AB295" s="3">
        <f t="shared" si="188"/>
        <v>512.2330926123583</v>
      </c>
      <c r="AC295" s="1">
        <f t="shared" si="193"/>
        <v>573327710.5519652</v>
      </c>
      <c r="AD295" s="36">
        <f t="shared" si="194"/>
        <v>159257.69737554595</v>
      </c>
      <c r="AE295" s="36">
        <f t="shared" si="221"/>
        <v>6635.737390647748</v>
      </c>
      <c r="AG295" s="1">
        <f t="shared" si="207"/>
        <v>3239999999.9999995</v>
      </c>
      <c r="AH295" s="1">
        <f t="shared" si="195"/>
        <v>3240000</v>
      </c>
      <c r="AI295" s="1">
        <f t="shared" si="196"/>
        <v>3243239999.9999995</v>
      </c>
      <c r="AJ295" s="1">
        <f t="shared" si="197"/>
        <v>157280137438.24033</v>
      </c>
      <c r="AK295" s="1">
        <f t="shared" si="198"/>
        <v>157437417575.6786</v>
      </c>
      <c r="AL295" s="39">
        <f>+AJ295/('Volcano Summary'!C$8)*10^6</f>
        <v>10918.839797192482</v>
      </c>
      <c r="AM295" s="1">
        <f t="shared" si="208"/>
        <v>6635.737390647748</v>
      </c>
    </row>
    <row r="296" spans="1:39" ht="12.75" hidden="1">
      <c r="A296" s="1">
        <f t="shared" si="189"/>
        <v>1844039.1334044898</v>
      </c>
      <c r="B296" s="1">
        <f t="shared" si="190"/>
        <v>6656.580831408858</v>
      </c>
      <c r="C296" s="1">
        <f t="shared" si="200"/>
        <v>4080</v>
      </c>
      <c r="D296" s="12">
        <f t="shared" si="209"/>
        <v>72.07508128694316</v>
      </c>
      <c r="E296" s="38">
        <f t="shared" si="201"/>
        <v>760952640.5517513</v>
      </c>
      <c r="F296" s="38">
        <f t="shared" si="202"/>
        <v>489253003.74077445</v>
      </c>
      <c r="G296" s="38">
        <f t="shared" si="203"/>
        <v>217553366.92979753</v>
      </c>
      <c r="H296" s="18">
        <f t="shared" si="210"/>
        <v>0.006937210351652813</v>
      </c>
      <c r="I296" s="50">
        <f>+I$295*LN(H$295)/LN(H296)</f>
        <v>0.033932276313298475</v>
      </c>
      <c r="J296" s="3">
        <f t="shared" si="211"/>
        <v>25.039533849575772</v>
      </c>
      <c r="K296" s="12">
        <f t="shared" si="219"/>
        <v>0.9459546392701216</v>
      </c>
      <c r="L296" s="3">
        <f t="shared" si="212"/>
        <v>1494.683384931454</v>
      </c>
      <c r="M296" s="12">
        <f t="shared" si="220"/>
        <v>0.7576383684735152</v>
      </c>
      <c r="N296" s="37">
        <f t="shared" si="213"/>
        <v>5771.442067539124</v>
      </c>
      <c r="O296" s="1">
        <f t="shared" si="204"/>
        <v>97175.10743617381</v>
      </c>
      <c r="P296">
        <f t="shared" si="214"/>
        <v>311.7292213382855</v>
      </c>
      <c r="Q296" s="1">
        <f t="shared" si="215"/>
        <v>1799.1271417129958</v>
      </c>
      <c r="R296" s="1">
        <f>+Q296*1000/'Material Properties'!AE$35</f>
        <v>1542906.9914239876</v>
      </c>
      <c r="S296" s="1">
        <f t="shared" si="216"/>
        <v>378.16347829019304</v>
      </c>
      <c r="T296" s="1">
        <f t="shared" si="217"/>
        <v>80.78070271557613</v>
      </c>
      <c r="U296">
        <f t="shared" si="205"/>
        <v>0.00010501746085448691</v>
      </c>
      <c r="V296">
        <f>+'Material Properties'!AE$31+'Material Properties'!AE$33</f>
        <v>0.00029034311030761144</v>
      </c>
      <c r="W296">
        <f t="shared" si="191"/>
        <v>0.00039536057116209834</v>
      </c>
      <c r="X296" s="1">
        <f>+'Volcano Summary'!E$12*10^9/Q296/3600/24/365</f>
        <v>0</v>
      </c>
      <c r="Y296" s="3">
        <f t="shared" si="192"/>
        <v>80</v>
      </c>
      <c r="Z296" s="1">
        <f>+Y296*'Volcano Summary'!B$19*'Volcano Summary'!B$20/1000</f>
        <v>3240000</v>
      </c>
      <c r="AA296" s="1">
        <f t="shared" si="206"/>
        <v>1800873.2817599047</v>
      </c>
      <c r="AB296" s="3">
        <f t="shared" si="188"/>
        <v>500.2425782666402</v>
      </c>
      <c r="AC296" s="1">
        <f t="shared" si="193"/>
        <v>575128583.8337251</v>
      </c>
      <c r="AD296" s="36">
        <f t="shared" si="194"/>
        <v>159757.9399538126</v>
      </c>
      <c r="AE296" s="36">
        <f t="shared" si="221"/>
        <v>6656.580831408858</v>
      </c>
      <c r="AG296" s="1">
        <f t="shared" si="207"/>
        <v>3240000000</v>
      </c>
      <c r="AH296" s="1">
        <f t="shared" si="195"/>
        <v>3240000</v>
      </c>
      <c r="AI296" s="1">
        <f t="shared" si="196"/>
        <v>3243240000</v>
      </c>
      <c r="AJ296" s="1">
        <f t="shared" si="197"/>
        <v>160520137438.24033</v>
      </c>
      <c r="AK296" s="1">
        <f t="shared" si="198"/>
        <v>160680657575.6786</v>
      </c>
      <c r="AL296" s="39">
        <f>+AJ296/('Volcano Summary'!C$8)*10^6</f>
        <v>11143.769921994764</v>
      </c>
      <c r="AM296" s="1">
        <f t="shared" si="208"/>
        <v>6656.580831408858</v>
      </c>
    </row>
    <row r="297" spans="1:39" ht="12.75" hidden="1">
      <c r="A297" s="1">
        <f t="shared" si="189"/>
        <v>1800873.2817599047</v>
      </c>
      <c r="B297" s="1">
        <f t="shared" si="190"/>
        <v>6676.945545978982</v>
      </c>
      <c r="C297" s="1">
        <f t="shared" si="200"/>
        <v>4160</v>
      </c>
      <c r="D297" s="12">
        <f t="shared" si="209"/>
        <v>72.77826946347568</v>
      </c>
      <c r="E297" s="38">
        <f t="shared" si="201"/>
        <v>768376744.558057</v>
      </c>
      <c r="F297" s="38">
        <f t="shared" si="202"/>
        <v>494026316.81126356</v>
      </c>
      <c r="G297" s="38">
        <f t="shared" si="203"/>
        <v>219675889.0644703</v>
      </c>
      <c r="H297" s="18">
        <f t="shared" si="210"/>
        <v>0.006870182592771442</v>
      </c>
      <c r="I297" s="50">
        <f aca="true" t="shared" si="222" ref="I297:I312">+I$295*LN(H$295)/LN(H297)</f>
        <v>0.03386612920866465</v>
      </c>
      <c r="J297" s="3">
        <f t="shared" si="211"/>
        <v>24.76664913739164</v>
      </c>
      <c r="K297" s="12">
        <f t="shared" si="219"/>
        <v>0.942816465080004</v>
      </c>
      <c r="L297" s="3">
        <f t="shared" si="212"/>
        <v>1489.7248207188943</v>
      </c>
      <c r="M297" s="12">
        <f t="shared" si="220"/>
        <v>0.7566832719808707</v>
      </c>
      <c r="N297" s="37">
        <f t="shared" si="213"/>
        <v>5884.607598275185</v>
      </c>
      <c r="O297" s="1">
        <f t="shared" si="204"/>
        <v>97919.87810715691</v>
      </c>
      <c r="P297">
        <f t="shared" si="214"/>
        <v>312.9215206839519</v>
      </c>
      <c r="Q297" s="1">
        <f t="shared" si="215"/>
        <v>1841.420358280609</v>
      </c>
      <c r="R297" s="1">
        <f>+Q297*1000/'Material Properties'!AE$35</f>
        <v>1579177.0793010725</v>
      </c>
      <c r="S297" s="1">
        <f t="shared" si="216"/>
        <v>379.6098748319886</v>
      </c>
      <c r="T297" s="1">
        <f t="shared" si="217"/>
        <v>85.18773130676368</v>
      </c>
      <c r="U297">
        <f t="shared" si="205"/>
        <v>9.964137595209292E-05</v>
      </c>
      <c r="V297">
        <f>+'Material Properties'!AE$31+'Material Properties'!AE$33</f>
        <v>0.00029034311030761144</v>
      </c>
      <c r="W297">
        <f t="shared" si="191"/>
        <v>0.0003899844862597044</v>
      </c>
      <c r="X297" s="1">
        <f>+'Volcano Summary'!E$12*10^9/Q297/3600/24/365</f>
        <v>0</v>
      </c>
      <c r="Y297" s="3">
        <f t="shared" si="192"/>
        <v>80</v>
      </c>
      <c r="Z297" s="1">
        <f>+Y297*'Volcano Summary'!B$19*'Volcano Summary'!B$20/1000</f>
        <v>3240000</v>
      </c>
      <c r="AA297" s="1">
        <f t="shared" si="206"/>
        <v>1759511.3388587101</v>
      </c>
      <c r="AB297" s="3">
        <f t="shared" si="188"/>
        <v>488.75314968297505</v>
      </c>
      <c r="AC297" s="1">
        <f t="shared" si="193"/>
        <v>576888095.1725838</v>
      </c>
      <c r="AD297" s="36">
        <f t="shared" si="194"/>
        <v>160246.69310349558</v>
      </c>
      <c r="AE297" s="36">
        <f t="shared" si="221"/>
        <v>6676.945545978982</v>
      </c>
      <c r="AG297" s="1">
        <f t="shared" si="207"/>
        <v>3240000000</v>
      </c>
      <c r="AH297" s="1">
        <f t="shared" si="195"/>
        <v>3240000</v>
      </c>
      <c r="AI297" s="1">
        <f t="shared" si="196"/>
        <v>3243240000</v>
      </c>
      <c r="AJ297" s="1">
        <f t="shared" si="197"/>
        <v>163760137438.24033</v>
      </c>
      <c r="AK297" s="1">
        <f t="shared" si="198"/>
        <v>163923897575.6786</v>
      </c>
      <c r="AL297" s="39">
        <f>+AJ297/('Volcano Summary'!C$8)*10^6</f>
        <v>11368.700046797048</v>
      </c>
      <c r="AM297" s="1">
        <f t="shared" si="208"/>
        <v>6676.945545978982</v>
      </c>
    </row>
    <row r="298" spans="1:39" ht="12.75" hidden="1">
      <c r="A298" s="1">
        <f t="shared" si="189"/>
        <v>1759511.3388587101</v>
      </c>
      <c r="B298" s="1">
        <f t="shared" si="190"/>
        <v>6696.8511698592665</v>
      </c>
      <c r="C298" s="1">
        <f t="shared" si="200"/>
        <v>4240</v>
      </c>
      <c r="D298" s="12">
        <f t="shared" si="209"/>
        <v>73.47472810209705</v>
      </c>
      <c r="E298" s="38">
        <f t="shared" si="201"/>
        <v>775729799.6033102</v>
      </c>
      <c r="F298" s="38">
        <f t="shared" si="202"/>
        <v>498753949.09197026</v>
      </c>
      <c r="G298" s="38">
        <f t="shared" si="203"/>
        <v>221778098.58063033</v>
      </c>
      <c r="H298" s="18">
        <f t="shared" si="210"/>
        <v>0.006805060908904942</v>
      </c>
      <c r="I298" s="50">
        <f t="shared" si="222"/>
        <v>0.033801492218037237</v>
      </c>
      <c r="J298" s="3">
        <f t="shared" si="211"/>
        <v>24.50212133556198</v>
      </c>
      <c r="K298" s="12">
        <f t="shared" si="219"/>
        <v>0.939774395358963</v>
      </c>
      <c r="L298" s="3">
        <f t="shared" si="212"/>
        <v>1484.9181091926932</v>
      </c>
      <c r="M298" s="12">
        <f t="shared" si="220"/>
        <v>0.7557574246744669</v>
      </c>
      <c r="N298" s="37">
        <f t="shared" si="213"/>
        <v>5997.773129011246</v>
      </c>
      <c r="O298" s="1">
        <f t="shared" si="204"/>
        <v>98657.67570407844</v>
      </c>
      <c r="P298">
        <f t="shared" si="214"/>
        <v>314.0981943661543</v>
      </c>
      <c r="Q298" s="1">
        <f t="shared" si="215"/>
        <v>1883.8897100402717</v>
      </c>
      <c r="R298" s="1">
        <f>+Q298*1000/'Material Properties'!AE$35</f>
        <v>1615598.2183256547</v>
      </c>
      <c r="S298" s="1">
        <f t="shared" si="216"/>
        <v>381.0373156428431</v>
      </c>
      <c r="T298" s="1">
        <f t="shared" si="217"/>
        <v>89.4300909685553</v>
      </c>
      <c r="U298">
        <f t="shared" si="205"/>
        <v>9.496171107572604E-05</v>
      </c>
      <c r="V298">
        <f>+'Material Properties'!AE$31+'Material Properties'!AE$33</f>
        <v>0.00029034311030761144</v>
      </c>
      <c r="W298">
        <f t="shared" si="191"/>
        <v>0.0003853048213833375</v>
      </c>
      <c r="X298" s="1">
        <f>+'Volcano Summary'!E$12*10^9/Q298/3600/24/365</f>
        <v>0</v>
      </c>
      <c r="Y298" s="3">
        <f t="shared" si="192"/>
        <v>80</v>
      </c>
      <c r="Z298" s="1">
        <f>+Y298*'Volcano Summary'!B$19*'Volcano Summary'!B$20/1000</f>
        <v>3240000</v>
      </c>
      <c r="AA298" s="1">
        <f t="shared" si="206"/>
        <v>1719845.9032565865</v>
      </c>
      <c r="AB298" s="3">
        <f t="shared" si="188"/>
        <v>477.7349731268296</v>
      </c>
      <c r="AC298" s="1">
        <f t="shared" si="193"/>
        <v>578607941.0758404</v>
      </c>
      <c r="AD298" s="36">
        <f t="shared" si="194"/>
        <v>160724.4280766224</v>
      </c>
      <c r="AE298" s="36">
        <f t="shared" si="221"/>
        <v>6696.8511698592665</v>
      </c>
      <c r="AG298" s="1">
        <f t="shared" si="207"/>
        <v>3240000000</v>
      </c>
      <c r="AH298" s="1">
        <f t="shared" si="195"/>
        <v>3240000</v>
      </c>
      <c r="AI298" s="1">
        <f t="shared" si="196"/>
        <v>3243240000</v>
      </c>
      <c r="AJ298" s="1">
        <f t="shared" si="197"/>
        <v>167000137438.24033</v>
      </c>
      <c r="AK298" s="1">
        <f t="shared" si="198"/>
        <v>167167137575.6786</v>
      </c>
      <c r="AL298" s="39">
        <f>+AJ298/('Volcano Summary'!C$8)*10^6</f>
        <v>11593.63017159933</v>
      </c>
      <c r="AM298" s="1">
        <f t="shared" si="208"/>
        <v>6696.8511698592665</v>
      </c>
    </row>
    <row r="299" spans="1:39" ht="12.75" hidden="1">
      <c r="A299" s="1">
        <f t="shared" si="189"/>
        <v>1719845.9032565865</v>
      </c>
      <c r="B299" s="1">
        <f t="shared" si="190"/>
        <v>6716.316190814559</v>
      </c>
      <c r="C299" s="1">
        <f t="shared" si="200"/>
        <v>4320</v>
      </c>
      <c r="D299" s="12">
        <f t="shared" si="209"/>
        <v>74.1646467884524</v>
      </c>
      <c r="E299" s="38">
        <f t="shared" si="201"/>
        <v>783013807.2904887</v>
      </c>
      <c r="F299" s="38">
        <f t="shared" si="202"/>
        <v>503437187.5095924</v>
      </c>
      <c r="G299" s="38">
        <f t="shared" si="203"/>
        <v>223860567.72869608</v>
      </c>
      <c r="H299" s="18">
        <f t="shared" si="210"/>
        <v>0.0067417566408184</v>
      </c>
      <c r="I299" s="50">
        <f t="shared" si="222"/>
        <v>0.033738302875738604</v>
      </c>
      <c r="J299" s="3">
        <f t="shared" si="211"/>
        <v>24.245542746245327</v>
      </c>
      <c r="K299" s="12">
        <f t="shared" si="219"/>
        <v>0.9368237415818215</v>
      </c>
      <c r="L299" s="3">
        <f t="shared" si="212"/>
        <v>1480.2558421110691</v>
      </c>
      <c r="M299" s="12">
        <f t="shared" si="220"/>
        <v>0.7548593996118587</v>
      </c>
      <c r="N299" s="37">
        <f t="shared" si="213"/>
        <v>6110.9386597473085</v>
      </c>
      <c r="O299" s="1">
        <f t="shared" si="204"/>
        <v>99388.68292603405</v>
      </c>
      <c r="P299">
        <f t="shared" si="214"/>
        <v>315.2597071083364</v>
      </c>
      <c r="Q299" s="1">
        <f t="shared" si="215"/>
        <v>1926.5327320289464</v>
      </c>
      <c r="R299" s="1">
        <f>+Q299*1000/'Material Properties'!AE$35</f>
        <v>1652168.2945789252</v>
      </c>
      <c r="S299" s="1">
        <f t="shared" si="216"/>
        <v>382.4463644858623</v>
      </c>
      <c r="T299" s="1">
        <f t="shared" si="217"/>
        <v>93.51702560622743</v>
      </c>
      <c r="U299">
        <f t="shared" si="205"/>
        <v>9.08511991870482E-05</v>
      </c>
      <c r="V299">
        <f>+'Material Properties'!AE$31+'Material Properties'!AE$33</f>
        <v>0.00029034311030761144</v>
      </c>
      <c r="W299">
        <f t="shared" si="191"/>
        <v>0.0003811943094946597</v>
      </c>
      <c r="X299" s="1">
        <f>+'Volcano Summary'!E$12*10^9/Q299/3600/24/365</f>
        <v>0</v>
      </c>
      <c r="Y299" s="3">
        <f t="shared" si="192"/>
        <v>80</v>
      </c>
      <c r="Z299" s="1">
        <f>+Y299*'Volcano Summary'!B$19*'Volcano Summary'!B$20/1000</f>
        <v>3240000</v>
      </c>
      <c r="AA299" s="1">
        <f t="shared" si="206"/>
        <v>1681777.810537256</v>
      </c>
      <c r="AB299" s="3">
        <f t="shared" si="188"/>
        <v>467.16050292701556</v>
      </c>
      <c r="AC299" s="1">
        <f t="shared" si="193"/>
        <v>580289718.8863776</v>
      </c>
      <c r="AD299" s="36">
        <f t="shared" si="194"/>
        <v>161191.58857954943</v>
      </c>
      <c r="AE299" s="36">
        <f t="shared" si="221"/>
        <v>6716.316190814559</v>
      </c>
      <c r="AG299" s="1">
        <f t="shared" si="207"/>
        <v>3239999999.9999995</v>
      </c>
      <c r="AH299" s="1">
        <f t="shared" si="195"/>
        <v>3240000</v>
      </c>
      <c r="AI299" s="1">
        <f t="shared" si="196"/>
        <v>3243239999.9999995</v>
      </c>
      <c r="AJ299" s="1">
        <f t="shared" si="197"/>
        <v>170240137438.24033</v>
      </c>
      <c r="AK299" s="1">
        <f t="shared" si="198"/>
        <v>170410377575.6786</v>
      </c>
      <c r="AL299" s="39">
        <f>+AJ299/('Volcano Summary'!C$8)*10^6</f>
        <v>11818.560296401616</v>
      </c>
      <c r="AM299" s="1">
        <f t="shared" si="208"/>
        <v>6716.316190814559</v>
      </c>
    </row>
    <row r="300" spans="1:39" ht="12.75" hidden="1">
      <c r="A300" s="1">
        <f t="shared" si="189"/>
        <v>1681777.810537256</v>
      </c>
      <c r="B300" s="1">
        <f t="shared" si="190"/>
        <v>6735.358035317143</v>
      </c>
      <c r="C300" s="1">
        <f t="shared" si="200"/>
        <v>4400</v>
      </c>
      <c r="D300" s="12">
        <f t="shared" si="209"/>
        <v>74.84820637019111</v>
      </c>
      <c r="E300" s="38">
        <f t="shared" si="201"/>
        <v>790230676.9687579</v>
      </c>
      <c r="F300" s="38">
        <f t="shared" si="202"/>
        <v>508077259.6764209</v>
      </c>
      <c r="G300" s="38">
        <f t="shared" si="203"/>
        <v>225923842.38408408</v>
      </c>
      <c r="H300" s="18">
        <f t="shared" si="210"/>
        <v>0.006680186797356964</v>
      </c>
      <c r="I300" s="50">
        <f t="shared" si="222"/>
        <v>0.03367650240805016</v>
      </c>
      <c r="J300" s="3">
        <f t="shared" si="211"/>
        <v>23.996532676741666</v>
      </c>
      <c r="K300" s="12">
        <f t="shared" si="219"/>
        <v>0.9339601257825293</v>
      </c>
      <c r="L300" s="3">
        <f t="shared" si="212"/>
        <v>1475.7311019403019</v>
      </c>
      <c r="M300" s="12">
        <f t="shared" si="220"/>
        <v>0.7539878643685959</v>
      </c>
      <c r="N300" s="37">
        <f t="shared" si="213"/>
        <v>6224.104190483371</v>
      </c>
      <c r="O300" s="1">
        <f t="shared" si="204"/>
        <v>100113.07444387181</v>
      </c>
      <c r="P300">
        <f t="shared" si="214"/>
        <v>316.40650189885764</v>
      </c>
      <c r="Q300" s="1">
        <f t="shared" si="215"/>
        <v>1969.3470343648644</v>
      </c>
      <c r="R300" s="1">
        <f>+Q300*1000/'Material Properties'!AE$35</f>
        <v>1688885.2585307516</v>
      </c>
      <c r="S300" s="1">
        <f t="shared" si="216"/>
        <v>383.837558756989</v>
      </c>
      <c r="T300" s="1">
        <f t="shared" si="217"/>
        <v>97.45709635094704</v>
      </c>
      <c r="U300">
        <f t="shared" si="205"/>
        <v>8.721180594222987E-05</v>
      </c>
      <c r="V300">
        <f>+'Material Properties'!AE$31+'Material Properties'!AE$33</f>
        <v>0.00029034311030761144</v>
      </c>
      <c r="W300">
        <f t="shared" si="191"/>
        <v>0.0003775549162498413</v>
      </c>
      <c r="X300" s="1">
        <f>+'Volcano Summary'!E$12*10^9/Q300/3600/24/365</f>
        <v>0</v>
      </c>
      <c r="Y300" s="3">
        <f t="shared" si="192"/>
        <v>80</v>
      </c>
      <c r="Z300" s="1">
        <f>+Y300*'Volcano Summary'!B$19*'Volcano Summary'!B$20/1000</f>
        <v>3240000</v>
      </c>
      <c r="AA300" s="1">
        <f t="shared" si="206"/>
        <v>1645215.365023227</v>
      </c>
      <c r="AB300" s="3">
        <f t="shared" si="188"/>
        <v>457.0042680620075</v>
      </c>
      <c r="AC300" s="1">
        <f t="shared" si="193"/>
        <v>581934934.2514008</v>
      </c>
      <c r="AD300" s="36">
        <f t="shared" si="194"/>
        <v>161648.59284761143</v>
      </c>
      <c r="AE300" s="36">
        <f t="shared" si="221"/>
        <v>6735.358035317143</v>
      </c>
      <c r="AG300" s="1">
        <f t="shared" si="207"/>
        <v>3240000000</v>
      </c>
      <c r="AH300" s="1">
        <f t="shared" si="195"/>
        <v>3240000</v>
      </c>
      <c r="AI300" s="1">
        <f t="shared" si="196"/>
        <v>3243240000</v>
      </c>
      <c r="AJ300" s="1">
        <f t="shared" si="197"/>
        <v>173480137438.24033</v>
      </c>
      <c r="AK300" s="1">
        <f t="shared" si="198"/>
        <v>173653617575.6786</v>
      </c>
      <c r="AL300" s="39">
        <f>+AJ300/('Volcano Summary'!C$8)*10^6</f>
        <v>12043.490421203898</v>
      </c>
      <c r="AM300" s="1">
        <f t="shared" si="208"/>
        <v>6735.358035317143</v>
      </c>
    </row>
    <row r="301" spans="1:39" ht="12.75" hidden="1">
      <c r="A301" s="1">
        <f t="shared" si="189"/>
        <v>1645215.365023227</v>
      </c>
      <c r="B301" s="1">
        <f t="shared" si="190"/>
        <v>6753.9931470701</v>
      </c>
      <c r="C301" s="1">
        <f t="shared" si="200"/>
        <v>4480</v>
      </c>
      <c r="D301" s="12">
        <f t="shared" si="209"/>
        <v>75.52557951061037</v>
      </c>
      <c r="E301" s="38">
        <f t="shared" si="201"/>
        <v>797382231.5787178</v>
      </c>
      <c r="F301" s="38">
        <f t="shared" si="202"/>
        <v>512675337.6485298</v>
      </c>
      <c r="G301" s="38">
        <f t="shared" si="203"/>
        <v>227968443.71834186</v>
      </c>
      <c r="H301" s="18">
        <f t="shared" si="210"/>
        <v>0.0066202735978974706</v>
      </c>
      <c r="I301" s="50">
        <f t="shared" si="222"/>
        <v>0.03361603545204634</v>
      </c>
      <c r="J301" s="3">
        <f t="shared" si="211"/>
        <v>23.754735196916773</v>
      </c>
      <c r="K301" s="12">
        <f t="shared" si="219"/>
        <v>0.9311794547645431</v>
      </c>
      <c r="L301" s="3">
        <f t="shared" si="212"/>
        <v>1471.3374211050864</v>
      </c>
      <c r="M301" s="12">
        <f t="shared" si="220"/>
        <v>0.7531415731892087</v>
      </c>
      <c r="N301" s="37">
        <f t="shared" si="213"/>
        <v>6337.269721219432</v>
      </c>
      <c r="O301" s="1">
        <f t="shared" si="204"/>
        <v>100831.0173914921</v>
      </c>
      <c r="P301">
        <f t="shared" si="214"/>
        <v>317.53900137068536</v>
      </c>
      <c r="Q301" s="1">
        <f t="shared" si="215"/>
        <v>2012.3302986927</v>
      </c>
      <c r="R301" s="1">
        <f>+Q301*1000/'Material Properties'!AE$35</f>
        <v>1725747.1219911063</v>
      </c>
      <c r="S301" s="1">
        <f t="shared" si="216"/>
        <v>385.2114111587291</v>
      </c>
      <c r="T301" s="1">
        <f t="shared" si="217"/>
        <v>101.25824354578299</v>
      </c>
      <c r="U301">
        <f t="shared" si="205"/>
        <v>8.396679212829016E-05</v>
      </c>
      <c r="V301">
        <f>+'Material Properties'!AE$31+'Material Properties'!AE$33</f>
        <v>0.00029034311030761144</v>
      </c>
      <c r="W301">
        <f t="shared" si="191"/>
        <v>0.0003743099024359016</v>
      </c>
      <c r="X301" s="1">
        <f>+'Volcano Summary'!E$12*10^9/Q301/3600/24/365</f>
        <v>0</v>
      </c>
      <c r="Y301" s="3">
        <f t="shared" si="192"/>
        <v>80</v>
      </c>
      <c r="Z301" s="1">
        <f>+Y301*'Volcano Summary'!B$19*'Volcano Summary'!B$20/1000</f>
        <v>3240000</v>
      </c>
      <c r="AA301" s="1">
        <f t="shared" si="206"/>
        <v>1610073.6554554934</v>
      </c>
      <c r="AB301" s="3">
        <f t="shared" si="188"/>
        <v>447.2426820709704</v>
      </c>
      <c r="AC301" s="1">
        <f t="shared" si="193"/>
        <v>583545007.9068563</v>
      </c>
      <c r="AD301" s="36">
        <f t="shared" si="194"/>
        <v>162095.8355296824</v>
      </c>
      <c r="AE301" s="36">
        <f t="shared" si="221"/>
        <v>6753.9931470701</v>
      </c>
      <c r="AG301" s="1">
        <f t="shared" si="207"/>
        <v>3240000000</v>
      </c>
      <c r="AH301" s="1">
        <f t="shared" si="195"/>
        <v>3240000</v>
      </c>
      <c r="AI301" s="1">
        <f t="shared" si="196"/>
        <v>3243240000</v>
      </c>
      <c r="AJ301" s="1">
        <f t="shared" si="197"/>
        <v>176720137438.24033</v>
      </c>
      <c r="AK301" s="1">
        <f t="shared" si="198"/>
        <v>176896857575.6786</v>
      </c>
      <c r="AL301" s="39">
        <f>+AJ301/('Volcano Summary'!C$8)*10^6</f>
        <v>12268.420546006182</v>
      </c>
      <c r="AM301" s="1">
        <f t="shared" si="208"/>
        <v>6753.9931470701</v>
      </c>
    </row>
    <row r="302" spans="1:39" ht="12.75" hidden="1">
      <c r="A302" s="1">
        <f t="shared" si="189"/>
        <v>1610073.6554554934</v>
      </c>
      <c r="B302" s="1">
        <f t="shared" si="190"/>
        <v>6772.237058460895</v>
      </c>
      <c r="C302" s="1">
        <f t="shared" si="200"/>
        <v>4560</v>
      </c>
      <c r="D302" s="12">
        <f t="shared" si="209"/>
        <v>76.19693119799736</v>
      </c>
      <c r="E302" s="38">
        <f t="shared" si="201"/>
        <v>804470213.0299234</v>
      </c>
      <c r="F302" s="38">
        <f t="shared" si="202"/>
        <v>517232541.3832417</v>
      </c>
      <c r="G302" s="38">
        <f t="shared" si="203"/>
        <v>229994869.7365599</v>
      </c>
      <c r="H302" s="18">
        <f t="shared" si="210"/>
        <v>0.006561944059147899</v>
      </c>
      <c r="I302" s="50">
        <f t="shared" si="222"/>
        <v>0.03355684980045884</v>
      </c>
      <c r="J302" s="3">
        <f t="shared" si="211"/>
        <v>23.519817119183926</v>
      </c>
      <c r="K302" s="12">
        <f t="shared" si="219"/>
        <v>0.9284778968706153</v>
      </c>
      <c r="L302" s="3">
        <f t="shared" si="212"/>
        <v>1467.0687452829561</v>
      </c>
      <c r="M302" s="12">
        <f t="shared" si="220"/>
        <v>0.7523193599171437</v>
      </c>
      <c r="N302" s="37">
        <f t="shared" si="213"/>
        <v>6450.435251955493</v>
      </c>
      <c r="O302" s="1">
        <f t="shared" si="204"/>
        <v>101542.67181889243</v>
      </c>
      <c r="P302">
        <f t="shared" si="214"/>
        <v>318.65760907107244</v>
      </c>
      <c r="Q302" s="1">
        <f t="shared" si="215"/>
        <v>2055.480274855898</v>
      </c>
      <c r="R302" s="1">
        <f>+Q302*1000/'Material Properties'!AE$35</f>
        <v>1762751.9552563017</v>
      </c>
      <c r="S302" s="1">
        <f t="shared" si="216"/>
        <v>386.56841124041705</v>
      </c>
      <c r="T302" s="1">
        <f t="shared" si="217"/>
        <v>104.92784209802448</v>
      </c>
      <c r="U302">
        <f t="shared" si="205"/>
        <v>8.10552292283783E-05</v>
      </c>
      <c r="V302">
        <f>+'Material Properties'!AE$31+'Material Properties'!AE$33</f>
        <v>0.00029034311030761144</v>
      </c>
      <c r="W302">
        <f t="shared" si="191"/>
        <v>0.00037139833953598976</v>
      </c>
      <c r="X302" s="1">
        <f>+'Volcano Summary'!E$12*10^9/Q302/3600/24/365</f>
        <v>0</v>
      </c>
      <c r="Y302" s="3">
        <f t="shared" si="192"/>
        <v>80</v>
      </c>
      <c r="Z302" s="1">
        <f>+Y302*'Volcano Summary'!B$19*'Volcano Summary'!B$20/1000</f>
        <v>3240000</v>
      </c>
      <c r="AA302" s="1">
        <f t="shared" si="206"/>
        <v>1576273.9441647737</v>
      </c>
      <c r="AB302" s="3">
        <f t="shared" si="188"/>
        <v>437.8538733791038</v>
      </c>
      <c r="AC302" s="1">
        <f t="shared" si="193"/>
        <v>585121281.851021</v>
      </c>
      <c r="AD302" s="36">
        <f t="shared" si="194"/>
        <v>162533.6894030615</v>
      </c>
      <c r="AE302" s="36">
        <f t="shared" si="221"/>
        <v>6772.237058460895</v>
      </c>
      <c r="AG302" s="1">
        <f t="shared" si="207"/>
        <v>3239999999.9999995</v>
      </c>
      <c r="AH302" s="1">
        <f t="shared" si="195"/>
        <v>3240000</v>
      </c>
      <c r="AI302" s="1">
        <f t="shared" si="196"/>
        <v>3243239999.9999995</v>
      </c>
      <c r="AJ302" s="1">
        <f t="shared" si="197"/>
        <v>179960137438.24033</v>
      </c>
      <c r="AK302" s="1">
        <f t="shared" si="198"/>
        <v>180140097575.6786</v>
      </c>
      <c r="AL302" s="39">
        <f>+AJ302/('Volcano Summary'!C$8)*10^6</f>
        <v>12493.350670808464</v>
      </c>
      <c r="AM302" s="1">
        <f t="shared" si="208"/>
        <v>6772.237058460895</v>
      </c>
    </row>
    <row r="303" spans="1:39" ht="12.75" hidden="1">
      <c r="A303" s="1">
        <f t="shared" si="189"/>
        <v>1576273.9441647737</v>
      </c>
      <c r="B303" s="1">
        <f t="shared" si="190"/>
        <v>6790.104455691463</v>
      </c>
      <c r="C303" s="1">
        <f t="shared" si="200"/>
        <v>4640</v>
      </c>
      <c r="D303" s="12">
        <f t="shared" si="209"/>
        <v>76.86241921492685</v>
      </c>
      <c r="E303" s="38">
        <f t="shared" si="201"/>
        <v>811496287.1556252</v>
      </c>
      <c r="F303" s="38">
        <f t="shared" si="202"/>
        <v>521749941.9247687</v>
      </c>
      <c r="G303" s="38">
        <f t="shared" si="203"/>
        <v>232003596.6939122</v>
      </c>
      <c r="H303" s="18">
        <f t="shared" si="210"/>
        <v>0.006505129621302616</v>
      </c>
      <c r="I303" s="50">
        <f t="shared" si="222"/>
        <v>0.03349889616974896</v>
      </c>
      <c r="J303" s="3">
        <f t="shared" si="211"/>
        <v>23.29146617547747</v>
      </c>
      <c r="K303" s="12">
        <f t="shared" si="219"/>
        <v>0.9258518610179911</v>
      </c>
      <c r="L303" s="3">
        <f t="shared" si="212"/>
        <v>1462.9194002782313</v>
      </c>
      <c r="M303" s="12">
        <f t="shared" si="220"/>
        <v>0.7515201316141712</v>
      </c>
      <c r="N303" s="37">
        <f t="shared" si="213"/>
        <v>6563.600782691555</v>
      </c>
      <c r="O303" s="1">
        <f t="shared" si="204"/>
        <v>102248.19111055206</v>
      </c>
      <c r="P303">
        <f t="shared" si="214"/>
        <v>319.7627106317309</v>
      </c>
      <c r="Q303" s="1">
        <f t="shared" si="215"/>
        <v>2098.794777778002</v>
      </c>
      <c r="R303" s="1">
        <f>+Q303*1000/'Material Properties'!AE$35</f>
        <v>1799897.8844344574</v>
      </c>
      <c r="S303" s="1">
        <f t="shared" si="216"/>
        <v>387.909026817771</v>
      </c>
      <c r="T303" s="1">
        <f t="shared" si="217"/>
        <v>108.47275101130731</v>
      </c>
      <c r="U303">
        <f t="shared" si="205"/>
        <v>7.842812693916045E-05</v>
      </c>
      <c r="V303">
        <f>+'Material Properties'!AE$31+'Material Properties'!AE$33</f>
        <v>0.00029034311030761144</v>
      </c>
      <c r="W303">
        <f t="shared" si="191"/>
        <v>0.00036877123724677187</v>
      </c>
      <c r="X303" s="1">
        <f>+'Volcano Summary'!E$12*10^9/Q303/3600/24/365</f>
        <v>0</v>
      </c>
      <c r="Y303" s="3">
        <f t="shared" si="192"/>
        <v>80</v>
      </c>
      <c r="Z303" s="1">
        <f>+Y303*'Volcano Summary'!B$19*'Volcano Summary'!B$20/1000</f>
        <v>3240000</v>
      </c>
      <c r="AA303" s="1">
        <f t="shared" si="206"/>
        <v>1543743.1207210238</v>
      </c>
      <c r="AB303" s="3">
        <f t="shared" si="188"/>
        <v>428.81753353361773</v>
      </c>
      <c r="AC303" s="1">
        <f t="shared" si="193"/>
        <v>586665024.971742</v>
      </c>
      <c r="AD303" s="36">
        <f t="shared" si="194"/>
        <v>162962.5069365951</v>
      </c>
      <c r="AE303" s="36">
        <f t="shared" si="221"/>
        <v>6790.104455691463</v>
      </c>
      <c r="AG303" s="1">
        <f t="shared" si="207"/>
        <v>3240000000</v>
      </c>
      <c r="AH303" s="1">
        <f t="shared" si="195"/>
        <v>3240000</v>
      </c>
      <c r="AI303" s="1">
        <f t="shared" si="196"/>
        <v>3243240000</v>
      </c>
      <c r="AJ303" s="1">
        <f t="shared" si="197"/>
        <v>183200137438.24033</v>
      </c>
      <c r="AK303" s="1">
        <f t="shared" si="198"/>
        <v>183383337575.6786</v>
      </c>
      <c r="AL303" s="39">
        <f>+AJ303/('Volcano Summary'!C$8)*10^6</f>
        <v>12718.280795610748</v>
      </c>
      <c r="AM303" s="1">
        <f t="shared" si="208"/>
        <v>6790.104455691463</v>
      </c>
    </row>
    <row r="304" spans="1:39" ht="12.75" hidden="1">
      <c r="A304" s="1">
        <f t="shared" si="189"/>
        <v>1543743.1207210238</v>
      </c>
      <c r="B304" s="1">
        <f t="shared" si="190"/>
        <v>6807.262683099997</v>
      </c>
      <c r="C304" s="1">
        <f t="shared" si="200"/>
        <v>4720</v>
      </c>
      <c r="D304" s="12">
        <f t="shared" si="209"/>
        <v>77.5221945712966</v>
      </c>
      <c r="E304" s="38">
        <f t="shared" si="201"/>
        <v>818462048.284659</v>
      </c>
      <c r="F304" s="38">
        <f t="shared" si="202"/>
        <v>526228564.3437006</v>
      </c>
      <c r="G304" s="38">
        <f t="shared" si="203"/>
        <v>233995080.40274224</v>
      </c>
      <c r="H304" s="18">
        <f t="shared" si="210"/>
        <v>0.006449765809198728</v>
      </c>
      <c r="I304" s="50">
        <f t="shared" si="222"/>
        <v>0.033442127988915174</v>
      </c>
      <c r="J304" s="3">
        <f t="shared" si="211"/>
        <v>23.069389368975287</v>
      </c>
      <c r="K304" s="12">
        <f>0.75-(8-J304)/2*(0.75-0.722)</f>
        <v>0.9609714511656542</v>
      </c>
      <c r="L304" s="3">
        <f t="shared" si="212"/>
        <v>1518.4111392053924</v>
      </c>
      <c r="M304" s="12">
        <f>0.698-(8-J304)/2*(0.698-0.685)</f>
        <v>0.7959510308983386</v>
      </c>
      <c r="N304" s="37">
        <f t="shared" si="213"/>
        <v>6676.766313427614</v>
      </c>
      <c r="O304" s="1">
        <f t="shared" si="204"/>
        <v>107148.3145713942</v>
      </c>
      <c r="P304">
        <f t="shared" si="214"/>
        <v>327.33517160762636</v>
      </c>
      <c r="Q304" s="1">
        <f t="shared" si="215"/>
        <v>2185.5404469898467</v>
      </c>
      <c r="R304" s="1">
        <f>+Q304*1000/'Material Properties'!AE$35</f>
        <v>1874289.7917097127</v>
      </c>
      <c r="S304" s="1">
        <f t="shared" si="216"/>
        <v>397.0952948537527</v>
      </c>
      <c r="T304" s="1">
        <f t="shared" si="217"/>
        <v>59.26138329709238</v>
      </c>
      <c r="U304">
        <f t="shared" si="205"/>
        <v>0.00014258149546928007</v>
      </c>
      <c r="V304">
        <f>+'Material Properties'!AE$31+'Material Properties'!AE$33</f>
        <v>0.00029034311030761144</v>
      </c>
      <c r="W304">
        <f t="shared" si="191"/>
        <v>0.00043292460577689154</v>
      </c>
      <c r="X304" s="1">
        <f>+'Volcano Summary'!E$12*10^9/Q304/3600/24/365</f>
        <v>0</v>
      </c>
      <c r="Y304" s="3">
        <f t="shared" si="192"/>
        <v>80</v>
      </c>
      <c r="Z304" s="1">
        <f>+Y304*'Volcano Summary'!B$19*'Volcano Summary'!B$20/1000</f>
        <v>3240000</v>
      </c>
      <c r="AA304" s="1">
        <f t="shared" si="206"/>
        <v>1482470.8480973043</v>
      </c>
      <c r="AB304" s="3">
        <f aca="true" t="shared" si="223" ref="AB304:AB367">+AA304/3600</f>
        <v>411.79745780480675</v>
      </c>
      <c r="AC304" s="1">
        <f t="shared" si="193"/>
        <v>588147495.8198394</v>
      </c>
      <c r="AD304" s="36">
        <f t="shared" si="194"/>
        <v>163374.30439439992</v>
      </c>
      <c r="AE304" s="36">
        <f t="shared" si="221"/>
        <v>6807.262683099997</v>
      </c>
      <c r="AG304" s="1">
        <f t="shared" si="207"/>
        <v>3239999999.9999995</v>
      </c>
      <c r="AH304" s="1">
        <f t="shared" si="195"/>
        <v>3240000</v>
      </c>
      <c r="AI304" s="1">
        <f t="shared" si="196"/>
        <v>3243239999.9999995</v>
      </c>
      <c r="AJ304" s="1">
        <f t="shared" si="197"/>
        <v>186440137438.24033</v>
      </c>
      <c r="AK304" s="1">
        <f t="shared" si="198"/>
        <v>186626577575.6786</v>
      </c>
      <c r="AL304" s="39">
        <f>+AJ304/('Volcano Summary'!C$8)*10^6</f>
        <v>12943.21092041303</v>
      </c>
      <c r="AM304" s="1">
        <f t="shared" si="208"/>
        <v>6807.262683099997</v>
      </c>
    </row>
    <row r="305" spans="1:39" ht="12.75" hidden="1">
      <c r="A305" s="1">
        <f t="shared" si="189"/>
        <v>1482470.8480973043</v>
      </c>
      <c r="B305" s="1">
        <f t="shared" si="190"/>
        <v>6824.082232143162</v>
      </c>
      <c r="C305" s="1">
        <f t="shared" si="200"/>
        <v>4800</v>
      </c>
      <c r="D305" s="12">
        <f t="shared" si="209"/>
        <v>78.17640190446718</v>
      </c>
      <c r="E305" s="38">
        <f t="shared" si="201"/>
        <v>825369023.4660338</v>
      </c>
      <c r="F305" s="38">
        <f t="shared" si="202"/>
        <v>530669390.4531945</v>
      </c>
      <c r="G305" s="38">
        <f t="shared" si="203"/>
        <v>235969757.44035533</v>
      </c>
      <c r="H305" s="18">
        <f t="shared" si="210"/>
        <v>0.006395791924665553</v>
      </c>
      <c r="I305" s="50">
        <f t="shared" si="222"/>
        <v>0.03338650120686353</v>
      </c>
      <c r="J305" s="3">
        <f t="shared" si="211"/>
        <v>22.853311481169452</v>
      </c>
      <c r="K305" s="12">
        <f aca="true" t="shared" si="224" ref="K305:K344">0.75-(8-J305)/2*(0.75-0.722)</f>
        <v>0.9579463607363725</v>
      </c>
      <c r="L305" s="3">
        <f t="shared" si="212"/>
        <v>1513.631256307359</v>
      </c>
      <c r="M305" s="12">
        <f aca="true" t="shared" si="225" ref="M305:M343">0.698-(8-J305)/2*(0.698-0.685)</f>
        <v>0.7945465246276007</v>
      </c>
      <c r="N305" s="37">
        <f t="shared" si="213"/>
        <v>6789.931844163676</v>
      </c>
      <c r="O305" s="1">
        <f t="shared" si="204"/>
        <v>107820.91435620385</v>
      </c>
      <c r="P305">
        <f t="shared" si="214"/>
        <v>328.36095132674325</v>
      </c>
      <c r="Q305" s="1">
        <f t="shared" si="215"/>
        <v>2229.548479793333</v>
      </c>
      <c r="R305" s="1">
        <f>+Q305*1000/'Material Properties'!AE$35</f>
        <v>1912030.4826909322</v>
      </c>
      <c r="S305" s="1">
        <f t="shared" si="216"/>
        <v>398.3396838939442</v>
      </c>
      <c r="T305" s="1">
        <f t="shared" si="217"/>
        <v>63.65370283090101</v>
      </c>
      <c r="U305">
        <f t="shared" si="205"/>
        <v>0.00013288006146556586</v>
      </c>
      <c r="V305">
        <f>+'Material Properties'!AE$31+'Material Properties'!AE$33</f>
        <v>0.00029034311030761144</v>
      </c>
      <c r="W305">
        <f t="shared" si="191"/>
        <v>0.0004232231717731773</v>
      </c>
      <c r="X305" s="1">
        <f>+'Volcano Summary'!E$12*10^9/Q305/3600/24/365</f>
        <v>0</v>
      </c>
      <c r="Y305" s="3">
        <f t="shared" si="192"/>
        <v>80</v>
      </c>
      <c r="Z305" s="1">
        <f>+Y305*'Volcano Summary'!B$19*'Volcano Summary'!B$20/1000</f>
        <v>3240000</v>
      </c>
      <c r="AA305" s="1">
        <f t="shared" si="206"/>
        <v>1453209.0373295357</v>
      </c>
      <c r="AB305" s="3">
        <f t="shared" si="223"/>
        <v>403.66917703598216</v>
      </c>
      <c r="AC305" s="1">
        <f t="shared" si="193"/>
        <v>589600704.8571689</v>
      </c>
      <c r="AD305" s="36">
        <f t="shared" si="194"/>
        <v>163777.9735714359</v>
      </c>
      <c r="AE305" s="36">
        <f t="shared" si="221"/>
        <v>6824.082232143162</v>
      </c>
      <c r="AG305" s="1">
        <f t="shared" si="207"/>
        <v>3239999999.9999995</v>
      </c>
      <c r="AH305" s="1">
        <f t="shared" si="195"/>
        <v>3240000</v>
      </c>
      <c r="AI305" s="1">
        <f t="shared" si="196"/>
        <v>3243239999.9999995</v>
      </c>
      <c r="AJ305" s="1">
        <f t="shared" si="197"/>
        <v>189680137438.24033</v>
      </c>
      <c r="AK305" s="1">
        <f t="shared" si="198"/>
        <v>189869817575.6786</v>
      </c>
      <c r="AL305" s="39">
        <f>+AJ305/('Volcano Summary'!C$8)*10^6</f>
        <v>13168.141045215314</v>
      </c>
      <c r="AM305" s="1">
        <f t="shared" si="208"/>
        <v>6824.082232143162</v>
      </c>
    </row>
    <row r="306" spans="1:39" ht="12.75" hidden="1">
      <c r="A306" s="1">
        <f t="shared" si="189"/>
        <v>1453209.0373295357</v>
      </c>
      <c r="B306" s="1">
        <f t="shared" si="190"/>
        <v>6840.575110799255</v>
      </c>
      <c r="C306" s="1">
        <f t="shared" si="200"/>
        <v>4880</v>
      </c>
      <c r="D306" s="12">
        <f t="shared" si="209"/>
        <v>78.82517984950998</v>
      </c>
      <c r="E306" s="38">
        <f t="shared" si="201"/>
        <v>832218676.377927</v>
      </c>
      <c r="F306" s="38">
        <f t="shared" si="202"/>
        <v>535073361.32225627</v>
      </c>
      <c r="G306" s="38">
        <f t="shared" si="203"/>
        <v>237928046.26658556</v>
      </c>
      <c r="H306" s="18">
        <f t="shared" si="210"/>
        <v>0.006343150766729374</v>
      </c>
      <c r="I306" s="50">
        <f t="shared" si="222"/>
        <v>0.033331974116428596</v>
      </c>
      <c r="J306" s="3">
        <f t="shared" si="211"/>
        <v>22.642973717322768</v>
      </c>
      <c r="K306" s="12">
        <f t="shared" si="224"/>
        <v>0.955001632042519</v>
      </c>
      <c r="L306" s="3">
        <f t="shared" si="212"/>
        <v>1508.978351327444</v>
      </c>
      <c r="M306" s="12">
        <f t="shared" si="225"/>
        <v>0.7931793291625973</v>
      </c>
      <c r="N306" s="37">
        <f t="shared" si="213"/>
        <v>6903.097374899738</v>
      </c>
      <c r="O306" s="1">
        <f t="shared" si="204"/>
        <v>108487.97648850663</v>
      </c>
      <c r="P306">
        <f t="shared" si="214"/>
        <v>329.3751303430583</v>
      </c>
      <c r="Q306" s="1">
        <f t="shared" si="215"/>
        <v>2273.7085976284243</v>
      </c>
      <c r="R306" s="1">
        <f>+Q306*1000/'Material Properties'!AE$35</f>
        <v>1949901.599728829</v>
      </c>
      <c r="S306" s="1">
        <f t="shared" si="216"/>
        <v>399.5699999444322</v>
      </c>
      <c r="T306" s="1">
        <f t="shared" si="217"/>
        <v>67.90156309290546</v>
      </c>
      <c r="U306">
        <f t="shared" si="205"/>
        <v>0.00012467594651035648</v>
      </c>
      <c r="V306">
        <f>+'Material Properties'!AE$31+'Material Properties'!AE$33</f>
        <v>0.00029034311030761144</v>
      </c>
      <c r="W306">
        <f t="shared" si="191"/>
        <v>0.00041501905681796795</v>
      </c>
      <c r="X306" s="1">
        <f>+'Volcano Summary'!E$12*10^9/Q306/3600/24/365</f>
        <v>0</v>
      </c>
      <c r="Y306" s="3">
        <f t="shared" si="192"/>
        <v>80</v>
      </c>
      <c r="Z306" s="1">
        <f>+Y306*'Volcano Summary'!B$19*'Volcano Summary'!B$20/1000</f>
        <v>3240000</v>
      </c>
      <c r="AA306" s="1">
        <f t="shared" si="206"/>
        <v>1424984.7158863978</v>
      </c>
      <c r="AB306" s="3">
        <f t="shared" si="223"/>
        <v>395.8290877462216</v>
      </c>
      <c r="AC306" s="1">
        <f t="shared" si="193"/>
        <v>591025689.5730553</v>
      </c>
      <c r="AD306" s="36">
        <f t="shared" si="194"/>
        <v>164173.8026591821</v>
      </c>
      <c r="AE306" s="36">
        <f t="shared" si="221"/>
        <v>6840.575110799255</v>
      </c>
      <c r="AG306" s="1">
        <f t="shared" si="207"/>
        <v>3240000000</v>
      </c>
      <c r="AH306" s="1">
        <f t="shared" si="195"/>
        <v>3240000</v>
      </c>
      <c r="AI306" s="1">
        <f t="shared" si="196"/>
        <v>3243240000</v>
      </c>
      <c r="AJ306" s="1">
        <f t="shared" si="197"/>
        <v>192920137438.24033</v>
      </c>
      <c r="AK306" s="1">
        <f t="shared" si="198"/>
        <v>193113057575.6786</v>
      </c>
      <c r="AL306" s="39">
        <f>+AJ306/('Volcano Summary'!C$8)*10^6</f>
        <v>13393.071170017596</v>
      </c>
      <c r="AM306" s="1">
        <f t="shared" si="208"/>
        <v>6840.575110799255</v>
      </c>
    </row>
    <row r="307" spans="1:39" ht="12.75" hidden="1">
      <c r="A307" s="1">
        <f aca="true" t="shared" si="226" ref="A307:A354">+AA306</f>
        <v>1424984.7158863978</v>
      </c>
      <c r="B307" s="1">
        <f aca="true" t="shared" si="227" ref="B307:B354">+AE307</f>
        <v>6856.752717951694</v>
      </c>
      <c r="C307" s="1">
        <f t="shared" si="200"/>
        <v>4960</v>
      </c>
      <c r="D307" s="12">
        <f t="shared" si="209"/>
        <v>79.46866138224807</v>
      </c>
      <c r="E307" s="38">
        <f t="shared" si="201"/>
        <v>839012410.9494346</v>
      </c>
      <c r="F307" s="38">
        <f t="shared" si="202"/>
        <v>539441379.604337</v>
      </c>
      <c r="G307" s="38">
        <f t="shared" si="203"/>
        <v>239870348.25923944</v>
      </c>
      <c r="H307" s="18">
        <f t="shared" si="210"/>
        <v>0.006291788376741066</v>
      </c>
      <c r="I307" s="50">
        <f t="shared" si="222"/>
        <v>0.0332785071933574</v>
      </c>
      <c r="J307" s="3">
        <f t="shared" si="211"/>
        <v>22.438132475446004</v>
      </c>
      <c r="K307" s="12">
        <f t="shared" si="224"/>
        <v>0.9521338546562442</v>
      </c>
      <c r="L307" s="3">
        <f t="shared" si="212"/>
        <v>1504.4470355190513</v>
      </c>
      <c r="M307" s="12">
        <f t="shared" si="225"/>
        <v>0.7918478610903983</v>
      </c>
      <c r="N307" s="37">
        <f t="shared" si="213"/>
        <v>7016.262905635797</v>
      </c>
      <c r="O307" s="1">
        <f t="shared" si="204"/>
        <v>109149.6273253876</v>
      </c>
      <c r="P307">
        <f t="shared" si="214"/>
        <v>330.3780067216757</v>
      </c>
      <c r="Q307" s="1">
        <f t="shared" si="215"/>
        <v>2318.0189533991875</v>
      </c>
      <c r="R307" s="1">
        <f>+Q307*1000/'Material Properties'!AE$35</f>
        <v>1987901.5587790275</v>
      </c>
      <c r="S307" s="1">
        <f t="shared" si="216"/>
        <v>400.78660459254587</v>
      </c>
      <c r="T307" s="1">
        <f t="shared" si="217"/>
        <v>72.0120804641374</v>
      </c>
      <c r="U307">
        <f t="shared" si="205"/>
        <v>0.00011764717102290247</v>
      </c>
      <c r="V307">
        <f>+'Material Properties'!AE$31+'Material Properties'!AE$33</f>
        <v>0.00029034311030761144</v>
      </c>
      <c r="W307">
        <f aca="true" t="shared" si="228" ref="W307:W354">+V307+U307</f>
        <v>0.0004079902813305139</v>
      </c>
      <c r="X307" s="1">
        <f>+'Volcano Summary'!E$12*10^9/Q307/3600/24/365</f>
        <v>0</v>
      </c>
      <c r="Y307" s="3">
        <f aca="true" t="shared" si="229" ref="Y307:Y354">+C308-C307</f>
        <v>80</v>
      </c>
      <c r="Z307" s="1">
        <f>+Y307*'Volcano Summary'!B$19*'Volcano Summary'!B$20/1000</f>
        <v>3240000</v>
      </c>
      <c r="AA307" s="1">
        <f t="shared" si="206"/>
        <v>1397745.2579707347</v>
      </c>
      <c r="AB307" s="3">
        <f t="shared" si="223"/>
        <v>388.2625716585374</v>
      </c>
      <c r="AC307" s="1">
        <f aca="true" t="shared" si="230" ref="AC307:AC354">+AC306+AA307</f>
        <v>592423434.831026</v>
      </c>
      <c r="AD307" s="36">
        <f aca="true" t="shared" si="231" ref="AD307:AD354">+AD306+AB307</f>
        <v>164562.06523084064</v>
      </c>
      <c r="AE307" s="36">
        <f t="shared" si="221"/>
        <v>6856.752717951694</v>
      </c>
      <c r="AG307" s="1">
        <f t="shared" si="207"/>
        <v>3240000000</v>
      </c>
      <c r="AH307" s="1">
        <f aca="true" t="shared" si="232" ref="AH307:AH354">+Z307</f>
        <v>3240000</v>
      </c>
      <c r="AI307" s="1">
        <f aca="true" t="shared" si="233" ref="AI307:AI354">+AH307+AG307</f>
        <v>3243240000</v>
      </c>
      <c r="AJ307" s="1">
        <f aca="true" t="shared" si="234" ref="AJ307:AJ354">+AJ306+AG307</f>
        <v>196160137438.24033</v>
      </c>
      <c r="AK307" s="1">
        <f aca="true" t="shared" si="235" ref="AK307:AK354">+AK306+AI307</f>
        <v>196356297575.6786</v>
      </c>
      <c r="AL307" s="39">
        <f>+AJ307/('Volcano Summary'!C$8)*10^6</f>
        <v>13618.00129481988</v>
      </c>
      <c r="AM307" s="1">
        <f t="shared" si="208"/>
        <v>6856.752717951694</v>
      </c>
    </row>
    <row r="308" spans="1:39" ht="12.75" hidden="1">
      <c r="A308" s="1">
        <f t="shared" si="226"/>
        <v>1397745.2579707347</v>
      </c>
      <c r="B308" s="1">
        <f t="shared" si="227"/>
        <v>6872.62588332649</v>
      </c>
      <c r="C308" s="1">
        <f t="shared" si="200"/>
        <v>5040</v>
      </c>
      <c r="D308" s="12">
        <f t="shared" si="209"/>
        <v>80.10697413749455</v>
      </c>
      <c r="E308" s="38">
        <f t="shared" si="201"/>
        <v>845751574.7204599</v>
      </c>
      <c r="F308" s="38">
        <f t="shared" si="202"/>
        <v>543774311.6975673</v>
      </c>
      <c r="G308" s="38">
        <f t="shared" si="203"/>
        <v>241797048.674675</v>
      </c>
      <c r="H308" s="18">
        <f t="shared" si="210"/>
        <v>0.006241653805844753</v>
      </c>
      <c r="I308" s="50">
        <f t="shared" si="222"/>
        <v>0.03322606294876433</v>
      </c>
      <c r="J308" s="3">
        <f t="shared" si="211"/>
        <v>22.238558225739222</v>
      </c>
      <c r="K308" s="12">
        <f t="shared" si="224"/>
        <v>0.9493398151603493</v>
      </c>
      <c r="L308" s="3">
        <f t="shared" si="212"/>
        <v>1500.0322314280447</v>
      </c>
      <c r="M308" s="12">
        <f t="shared" si="225"/>
        <v>0.7905506284673042</v>
      </c>
      <c r="N308" s="37">
        <f t="shared" si="213"/>
        <v>7129.428436371859</v>
      </c>
      <c r="O308" s="1">
        <f t="shared" si="204"/>
        <v>109805.9883829968</v>
      </c>
      <c r="P308">
        <f t="shared" si="214"/>
        <v>331.36986643778704</v>
      </c>
      <c r="Q308" s="1">
        <f t="shared" si="215"/>
        <v>2362.477748738304</v>
      </c>
      <c r="R308" s="1">
        <f>+Q308*1000/'Material Properties'!AE$35</f>
        <v>2026028.8175861505</v>
      </c>
      <c r="S308" s="1">
        <f t="shared" si="216"/>
        <v>401.9898447591568</v>
      </c>
      <c r="T308" s="1">
        <f t="shared" si="217"/>
        <v>75.99191010957838</v>
      </c>
      <c r="U308">
        <f t="shared" si="205"/>
        <v>0.0001115578997553275</v>
      </c>
      <c r="V308">
        <f>+'Material Properties'!AE$31+'Material Properties'!AE$33</f>
        <v>0.00029034311030761144</v>
      </c>
      <c r="W308">
        <f t="shared" si="228"/>
        <v>0.00040190101006293895</v>
      </c>
      <c r="X308" s="1">
        <f>+'Volcano Summary'!E$12*10^9/Q308/3600/24/365</f>
        <v>0</v>
      </c>
      <c r="Y308" s="3">
        <f t="shared" si="229"/>
        <v>80</v>
      </c>
      <c r="Z308" s="1">
        <f>+Y308*'Volcano Summary'!B$19*'Volcano Summary'!B$20/1000</f>
        <v>3240000</v>
      </c>
      <c r="AA308" s="1">
        <f t="shared" si="206"/>
        <v>1371441.4883824163</v>
      </c>
      <c r="AB308" s="3">
        <f t="shared" si="223"/>
        <v>380.95596899511565</v>
      </c>
      <c r="AC308" s="1">
        <f t="shared" si="230"/>
        <v>593794876.3194084</v>
      </c>
      <c r="AD308" s="36">
        <f t="shared" si="231"/>
        <v>164943.02119983576</v>
      </c>
      <c r="AE308" s="36">
        <f t="shared" si="221"/>
        <v>6872.62588332649</v>
      </c>
      <c r="AG308" s="1">
        <f t="shared" si="207"/>
        <v>3239999999.9999995</v>
      </c>
      <c r="AH308" s="1">
        <f t="shared" si="232"/>
        <v>3240000</v>
      </c>
      <c r="AI308" s="1">
        <f t="shared" si="233"/>
        <v>3243239999.9999995</v>
      </c>
      <c r="AJ308" s="1">
        <f t="shared" si="234"/>
        <v>199400137438.24033</v>
      </c>
      <c r="AK308" s="1">
        <f t="shared" si="235"/>
        <v>199599537575.6786</v>
      </c>
      <c r="AL308" s="39">
        <f>+AJ308/('Volcano Summary'!C$8)*10^6</f>
        <v>13842.931419622162</v>
      </c>
      <c r="AM308" s="1">
        <f t="shared" si="208"/>
        <v>6872.62588332649</v>
      </c>
    </row>
    <row r="309" spans="1:39" ht="12.75" hidden="1">
      <c r="A309" s="1">
        <f t="shared" si="226"/>
        <v>1371441.4883824163</v>
      </c>
      <c r="B309" s="1">
        <f t="shared" si="227"/>
        <v>6888.20490423504</v>
      </c>
      <c r="C309" s="1">
        <f t="shared" si="200"/>
        <v>5120</v>
      </c>
      <c r="D309" s="12">
        <f t="shared" si="209"/>
        <v>80.74024070464513</v>
      </c>
      <c r="E309" s="38">
        <f t="shared" si="201"/>
        <v>852437461.962514</v>
      </c>
      <c r="F309" s="38">
        <f t="shared" si="202"/>
        <v>548072989.7512703</v>
      </c>
      <c r="G309" s="38">
        <f t="shared" si="203"/>
        <v>243708517.54002666</v>
      </c>
      <c r="H309" s="18">
        <f t="shared" si="210"/>
        <v>0.006192698902509392</v>
      </c>
      <c r="I309" s="50">
        <f t="shared" si="222"/>
        <v>0.03317460579373494</v>
      </c>
      <c r="J309" s="3">
        <f t="shared" si="211"/>
        <v>22.044034489004407</v>
      </c>
      <c r="K309" s="12">
        <f t="shared" si="224"/>
        <v>0.9466164828460619</v>
      </c>
      <c r="L309" s="3">
        <f t="shared" si="212"/>
        <v>1495.7291502940984</v>
      </c>
      <c r="M309" s="12">
        <f t="shared" si="225"/>
        <v>0.7892862241785279</v>
      </c>
      <c r="N309" s="37">
        <f t="shared" si="213"/>
        <v>7242.593967107922</v>
      </c>
      <c r="O309" s="1">
        <f t="shared" si="204"/>
        <v>110457.17659537515</v>
      </c>
      <c r="P309">
        <f t="shared" si="214"/>
        <v>332.3509840445416</v>
      </c>
      <c r="Q309" s="1">
        <f t="shared" si="215"/>
        <v>2407.0832320033783</v>
      </c>
      <c r="R309" s="1">
        <f>+Q309*1000/'Material Properties'!AE$35</f>
        <v>2064281.87396548</v>
      </c>
      <c r="S309" s="1">
        <f t="shared" si="216"/>
        <v>403.1800535088828</v>
      </c>
      <c r="T309" s="1">
        <f t="shared" si="217"/>
        <v>79.84728275237012</v>
      </c>
      <c r="U309">
        <f t="shared" si="205"/>
        <v>0.00010623143847832103</v>
      </c>
      <c r="V309">
        <f>+'Material Properties'!AE$31+'Material Properties'!AE$33</f>
        <v>0.00029034311030761144</v>
      </c>
      <c r="W309">
        <f t="shared" si="228"/>
        <v>0.00039657454878593246</v>
      </c>
      <c r="X309" s="1">
        <f>+'Volcano Summary'!E$12*10^9/Q309/3600/24/365</f>
        <v>0</v>
      </c>
      <c r="Y309" s="3">
        <f t="shared" si="229"/>
        <v>80</v>
      </c>
      <c r="Z309" s="1">
        <f>+Y309*'Volcano Summary'!B$19*'Volcano Summary'!B$20/1000</f>
        <v>3240000</v>
      </c>
      <c r="AA309" s="1">
        <f t="shared" si="206"/>
        <v>1346027.4064986934</v>
      </c>
      <c r="AB309" s="3">
        <f t="shared" si="223"/>
        <v>373.8965018051926</v>
      </c>
      <c r="AC309" s="1">
        <f t="shared" si="230"/>
        <v>595140903.7259071</v>
      </c>
      <c r="AD309" s="36">
        <f t="shared" si="231"/>
        <v>165316.91770164095</v>
      </c>
      <c r="AE309" s="36">
        <f t="shared" si="221"/>
        <v>6888.20490423504</v>
      </c>
      <c r="AG309" s="1">
        <f t="shared" si="207"/>
        <v>3240000000</v>
      </c>
      <c r="AH309" s="1">
        <f t="shared" si="232"/>
        <v>3240000</v>
      </c>
      <c r="AI309" s="1">
        <f t="shared" si="233"/>
        <v>3243240000</v>
      </c>
      <c r="AJ309" s="1">
        <f t="shared" si="234"/>
        <v>202640137438.24033</v>
      </c>
      <c r="AK309" s="1">
        <f t="shared" si="235"/>
        <v>202842777575.6786</v>
      </c>
      <c r="AL309" s="39">
        <f>+AJ309/('Volcano Summary'!C$8)*10^6</f>
        <v>14067.861544424446</v>
      </c>
      <c r="AM309" s="1">
        <f t="shared" si="208"/>
        <v>6888.20490423504</v>
      </c>
    </row>
    <row r="310" spans="1:39" ht="12.75" hidden="1">
      <c r="A310" s="1">
        <f t="shared" si="226"/>
        <v>1346027.4064986934</v>
      </c>
      <c r="B310" s="1">
        <f t="shared" si="227"/>
        <v>6903.499579422551</v>
      </c>
      <c r="C310" s="1">
        <f t="shared" si="200"/>
        <v>5200</v>
      </c>
      <c r="D310" s="12">
        <f t="shared" si="209"/>
        <v>81.36857890256438</v>
      </c>
      <c r="E310" s="38">
        <f t="shared" si="201"/>
        <v>859071316.5809034</v>
      </c>
      <c r="F310" s="38">
        <f t="shared" si="202"/>
        <v>552338213.5319161</v>
      </c>
      <c r="G310" s="38">
        <f t="shared" si="203"/>
        <v>245605110.48292908</v>
      </c>
      <c r="H310" s="18">
        <f t="shared" si="210"/>
        <v>0.00614487811810908</v>
      </c>
      <c r="I310" s="50">
        <f t="shared" si="222"/>
        <v>0.03312410191490474</v>
      </c>
      <c r="J310" s="3">
        <f t="shared" si="211"/>
        <v>21.85435690389132</v>
      </c>
      <c r="K310" s="12">
        <f t="shared" si="224"/>
        <v>0.9439609966544786</v>
      </c>
      <c r="L310" s="3">
        <f t="shared" si="212"/>
        <v>1491.53327141714</v>
      </c>
      <c r="M310" s="12">
        <f t="shared" si="225"/>
        <v>0.7880533198752928</v>
      </c>
      <c r="N310" s="37">
        <f t="shared" si="213"/>
        <v>7355.759497843981</v>
      </c>
      <c r="O310" s="1">
        <f t="shared" si="204"/>
        <v>111103.30455563484</v>
      </c>
      <c r="P310">
        <f t="shared" si="214"/>
        <v>333.3216232944314</v>
      </c>
      <c r="Q310" s="1">
        <f t="shared" si="215"/>
        <v>2451.833696384787</v>
      </c>
      <c r="R310" s="1">
        <f>+Q310*1000/'Material Properties'!AE$35</f>
        <v>2102659.2641802733</v>
      </c>
      <c r="S310" s="1">
        <f t="shared" si="216"/>
        <v>404.35755080389873</v>
      </c>
      <c r="T310" s="1">
        <f t="shared" si="217"/>
        <v>83.58403798690142</v>
      </c>
      <c r="U310">
        <f t="shared" si="205"/>
        <v>0.00010153278896695176</v>
      </c>
      <c r="V310">
        <f>+'Material Properties'!AE$31+'Material Properties'!AE$33</f>
        <v>0.00029034311030761144</v>
      </c>
      <c r="W310">
        <f t="shared" si="228"/>
        <v>0.0003918758992745632</v>
      </c>
      <c r="X310" s="1">
        <f>+'Volcano Summary'!E$12*10^9/Q310/3600/24/365</f>
        <v>0</v>
      </c>
      <c r="Y310" s="3">
        <f t="shared" si="229"/>
        <v>80</v>
      </c>
      <c r="Z310" s="1">
        <f>+Y310*'Volcano Summary'!B$19*'Volcano Summary'!B$20/1000</f>
        <v>3240000</v>
      </c>
      <c r="AA310" s="1">
        <f t="shared" si="206"/>
        <v>1321459.9362009582</v>
      </c>
      <c r="AB310" s="3">
        <f t="shared" si="223"/>
        <v>367.0722045002662</v>
      </c>
      <c r="AC310" s="1">
        <f t="shared" si="230"/>
        <v>596462363.6621081</v>
      </c>
      <c r="AD310" s="36">
        <f t="shared" si="231"/>
        <v>165683.9899061412</v>
      </c>
      <c r="AE310" s="36">
        <f t="shared" si="221"/>
        <v>6903.499579422551</v>
      </c>
      <c r="AG310" s="1">
        <f t="shared" si="207"/>
        <v>3240000000</v>
      </c>
      <c r="AH310" s="1">
        <f t="shared" si="232"/>
        <v>3240000</v>
      </c>
      <c r="AI310" s="1">
        <f t="shared" si="233"/>
        <v>3243240000</v>
      </c>
      <c r="AJ310" s="1">
        <f t="shared" si="234"/>
        <v>205880137438.24033</v>
      </c>
      <c r="AK310" s="1">
        <f t="shared" si="235"/>
        <v>206086017575.6786</v>
      </c>
      <c r="AL310" s="39">
        <f>+AJ310/('Volcano Summary'!C$8)*10^6</f>
        <v>14292.791669226728</v>
      </c>
      <c r="AM310" s="1">
        <f t="shared" si="208"/>
        <v>6903.499579422551</v>
      </c>
    </row>
    <row r="311" spans="1:39" ht="12.75" hidden="1">
      <c r="A311" s="1">
        <f t="shared" si="226"/>
        <v>1321459.9362009582</v>
      </c>
      <c r="B311" s="1">
        <f t="shared" si="227"/>
        <v>6918.519240290095</v>
      </c>
      <c r="C311" s="1">
        <f t="shared" si="200"/>
        <v>5280</v>
      </c>
      <c r="D311" s="12">
        <f t="shared" si="209"/>
        <v>81.99210203551108</v>
      </c>
      <c r="E311" s="38">
        <f t="shared" si="201"/>
        <v>865654334.8167336</v>
      </c>
      <c r="F311" s="38">
        <f t="shared" si="202"/>
        <v>556570752.1603714</v>
      </c>
      <c r="G311" s="38">
        <f t="shared" si="203"/>
        <v>247487169.50400916</v>
      </c>
      <c r="H311" s="18">
        <f t="shared" si="210"/>
        <v>0.006098148328767668</v>
      </c>
      <c r="I311" s="50">
        <f t="shared" si="222"/>
        <v>0.033074519159968965</v>
      </c>
      <c r="J311" s="3">
        <f t="shared" si="211"/>
        <v>21.669332374015895</v>
      </c>
      <c r="K311" s="12">
        <f t="shared" si="224"/>
        <v>0.9413706532362227</v>
      </c>
      <c r="L311" s="3">
        <f t="shared" si="212"/>
        <v>1487.440323290662</v>
      </c>
      <c r="M311" s="12">
        <f t="shared" si="225"/>
        <v>0.7868506604311026</v>
      </c>
      <c r="N311" s="37">
        <f t="shared" si="213"/>
        <v>7468.925028580044</v>
      </c>
      <c r="O311" s="1">
        <f t="shared" si="204"/>
        <v>111744.4807409488</v>
      </c>
      <c r="P311">
        <f t="shared" si="214"/>
        <v>334.2820377180754</v>
      </c>
      <c r="Q311" s="1">
        <f t="shared" si="215"/>
        <v>2496.727478117272</v>
      </c>
      <c r="R311" s="1">
        <f>+Q311*1000/'Material Properties'!AE$35</f>
        <v>2141159.5614080518</v>
      </c>
      <c r="S311" s="1">
        <f t="shared" si="216"/>
        <v>405.5226442060704</v>
      </c>
      <c r="T311" s="1">
        <f t="shared" si="217"/>
        <v>87.20765450463318</v>
      </c>
      <c r="U311">
        <f t="shared" si="205"/>
        <v>9.735703496168913E-05</v>
      </c>
      <c r="V311">
        <f>+'Material Properties'!AE$31+'Material Properties'!AE$33</f>
        <v>0.00029034311030761144</v>
      </c>
      <c r="W311">
        <f t="shared" si="228"/>
        <v>0.00038770014526930054</v>
      </c>
      <c r="X311" s="1">
        <f>+'Volcano Summary'!E$12*10^9/Q311/3600/24/365</f>
        <v>0</v>
      </c>
      <c r="Y311" s="3">
        <f t="shared" si="229"/>
        <v>80</v>
      </c>
      <c r="Z311" s="1">
        <f>+Y311*'Volcano Summary'!B$19*'Volcano Summary'!B$20/1000</f>
        <v>3240000</v>
      </c>
      <c r="AA311" s="1">
        <f t="shared" si="206"/>
        <v>1297698.6989558083</v>
      </c>
      <c r="AB311" s="3">
        <f t="shared" si="223"/>
        <v>360.4718608210579</v>
      </c>
      <c r="AC311" s="1">
        <f t="shared" si="230"/>
        <v>597760062.3610638</v>
      </c>
      <c r="AD311" s="36">
        <f t="shared" si="231"/>
        <v>166044.46176696228</v>
      </c>
      <c r="AE311" s="36">
        <f t="shared" si="221"/>
        <v>6918.519240290095</v>
      </c>
      <c r="AG311" s="1">
        <f t="shared" si="207"/>
        <v>3240000000</v>
      </c>
      <c r="AH311" s="1">
        <f t="shared" si="232"/>
        <v>3240000</v>
      </c>
      <c r="AI311" s="1">
        <f t="shared" si="233"/>
        <v>3243240000</v>
      </c>
      <c r="AJ311" s="1">
        <f t="shared" si="234"/>
        <v>209120137438.24033</v>
      </c>
      <c r="AK311" s="1">
        <f t="shared" si="235"/>
        <v>209329257575.6786</v>
      </c>
      <c r="AL311" s="39">
        <f>+AJ311/('Volcano Summary'!C$8)*10^6</f>
        <v>14517.721794029012</v>
      </c>
      <c r="AM311" s="1">
        <f t="shared" si="208"/>
        <v>6918.519240290095</v>
      </c>
    </row>
    <row r="312" spans="1:39" ht="12.75" hidden="1">
      <c r="A312" s="1">
        <f t="shared" si="226"/>
        <v>1297698.6989558083</v>
      </c>
      <c r="B312" s="1">
        <f t="shared" si="227"/>
        <v>6933.27277972986</v>
      </c>
      <c r="C312" s="1">
        <f t="shared" si="200"/>
        <v>5360</v>
      </c>
      <c r="D312" s="12">
        <f t="shared" si="209"/>
        <v>82.61091913167697</v>
      </c>
      <c r="E312" s="38">
        <f t="shared" si="201"/>
        <v>872187667.7653475</v>
      </c>
      <c r="F312" s="38">
        <f t="shared" si="202"/>
        <v>560771345.7311226</v>
      </c>
      <c r="G312" s="38">
        <f t="shared" si="203"/>
        <v>249355023.69689783</v>
      </c>
      <c r="H312" s="18">
        <f t="shared" si="210"/>
        <v>0.006052468671883789</v>
      </c>
      <c r="I312" s="50">
        <f t="shared" si="222"/>
        <v>0.03302582693219271</v>
      </c>
      <c r="J312" s="3">
        <f t="shared" si="211"/>
        <v>21.48877828701523</v>
      </c>
      <c r="K312" s="12">
        <f t="shared" si="224"/>
        <v>0.9388428960182134</v>
      </c>
      <c r="L312" s="3">
        <f t="shared" si="212"/>
        <v>1483.446266326351</v>
      </c>
      <c r="M312" s="12">
        <f t="shared" si="225"/>
        <v>0.7856770588655982</v>
      </c>
      <c r="N312" s="37">
        <f t="shared" si="213"/>
        <v>7582.090559316105</v>
      </c>
      <c r="O312" s="1">
        <f t="shared" si="204"/>
        <v>112380.80972266354</v>
      </c>
      <c r="P312">
        <f t="shared" si="214"/>
        <v>335.2324711639127</v>
      </c>
      <c r="Q312" s="1">
        <f t="shared" si="215"/>
        <v>2541.7629547881106</v>
      </c>
      <c r="R312" s="1">
        <f>+Q312*1000/'Material Properties'!AE$35</f>
        <v>2179781.374289708</v>
      </c>
      <c r="S312" s="1">
        <f t="shared" si="216"/>
        <v>406.67562953166197</v>
      </c>
      <c r="T312" s="1">
        <f t="shared" si="217"/>
        <v>90.72327756111372</v>
      </c>
      <c r="U312">
        <f t="shared" si="205"/>
        <v>9.36214052621993E-05</v>
      </c>
      <c r="V312">
        <f>+'Material Properties'!AE$31+'Material Properties'!AE$33</f>
        <v>0.00029034311030761144</v>
      </c>
      <c r="W312">
        <f t="shared" si="228"/>
        <v>0.00038396451556981073</v>
      </c>
      <c r="X312" s="1">
        <f>+'Volcano Summary'!E$12*10^9/Q312/3600/24/365</f>
        <v>0</v>
      </c>
      <c r="Y312" s="3">
        <f t="shared" si="229"/>
        <v>80</v>
      </c>
      <c r="Z312" s="1">
        <f>+Y312*'Volcano Summary'!B$19*'Volcano Summary'!B$20/1000</f>
        <v>3240000</v>
      </c>
      <c r="AA312" s="1">
        <f t="shared" si="206"/>
        <v>1274705.8075956956</v>
      </c>
      <c r="AB312" s="3">
        <f t="shared" si="223"/>
        <v>354.0849465543599</v>
      </c>
      <c r="AC312" s="1">
        <f t="shared" si="230"/>
        <v>599034768.1686596</v>
      </c>
      <c r="AD312" s="36">
        <f t="shared" si="231"/>
        <v>166398.54671351664</v>
      </c>
      <c r="AE312" s="36">
        <f t="shared" si="221"/>
        <v>6933.27277972986</v>
      </c>
      <c r="AG312" s="1">
        <f t="shared" si="207"/>
        <v>3240000000</v>
      </c>
      <c r="AH312" s="1">
        <f t="shared" si="232"/>
        <v>3240000</v>
      </c>
      <c r="AI312" s="1">
        <f t="shared" si="233"/>
        <v>3243240000</v>
      </c>
      <c r="AJ312" s="1">
        <f t="shared" si="234"/>
        <v>212360137438.24033</v>
      </c>
      <c r="AK312" s="1">
        <f t="shared" si="235"/>
        <v>212572497575.6786</v>
      </c>
      <c r="AL312" s="39">
        <f>+AJ312/('Volcano Summary'!C$8)*10^6</f>
        <v>14742.651918831296</v>
      </c>
      <c r="AM312" s="1">
        <f t="shared" si="208"/>
        <v>6933.27277972986</v>
      </c>
    </row>
    <row r="313" spans="1:39" ht="12.75" hidden="1">
      <c r="A313" s="1">
        <f t="shared" si="226"/>
        <v>1274705.8075956956</v>
      </c>
      <c r="B313" s="1">
        <f t="shared" si="227"/>
        <v>6947.630669600446</v>
      </c>
      <c r="C313" s="1">
        <f t="shared" si="200"/>
        <v>5440</v>
      </c>
      <c r="D313" s="12">
        <f t="shared" si="209"/>
        <v>83.22513516576159</v>
      </c>
      <c r="E313" s="38">
        <f t="shared" si="201"/>
        <v>878672423.7262205</v>
      </c>
      <c r="F313" s="38">
        <f t="shared" si="202"/>
        <v>564940706.8231382</v>
      </c>
      <c r="G313" s="38">
        <f t="shared" si="203"/>
        <v>251208989.92005607</v>
      </c>
      <c r="H313" s="18">
        <f t="shared" si="210"/>
        <v>0.006007800395927714</v>
      </c>
      <c r="I313" s="50">
        <v>0.032</v>
      </c>
      <c r="J313" s="3">
        <f t="shared" si="211"/>
        <v>20.724961266968688</v>
      </c>
      <c r="K313" s="12">
        <f t="shared" si="224"/>
        <v>0.9281494577375617</v>
      </c>
      <c r="L313" s="3">
        <f t="shared" si="212"/>
        <v>1466.5497853933834</v>
      </c>
      <c r="M313" s="12">
        <f t="shared" si="225"/>
        <v>0.7807122482352958</v>
      </c>
      <c r="N313" s="37">
        <f t="shared" si="213"/>
        <v>7695.256090052168</v>
      </c>
      <c r="O313" s="1">
        <f t="shared" si="204"/>
        <v>115195.40215180402</v>
      </c>
      <c r="P313">
        <f t="shared" si="214"/>
        <v>339.4044816318783</v>
      </c>
      <c r="Q313" s="1">
        <f t="shared" si="215"/>
        <v>2611.80440426871</v>
      </c>
      <c r="R313" s="1">
        <f>+Q313*1000/'Material Properties'!AE$35</f>
        <v>2239847.9696889604</v>
      </c>
      <c r="S313" s="1">
        <f t="shared" si="216"/>
        <v>411.73675913400007</v>
      </c>
      <c r="T313" s="1">
        <f t="shared" si="217"/>
        <v>105.37239733537695</v>
      </c>
      <c r="U313">
        <f t="shared" si="205"/>
        <v>8.071616162877797E-05</v>
      </c>
      <c r="V313">
        <f>+'Material Properties'!AE$31+'Material Properties'!AE$33</f>
        <v>0.00029034311030761144</v>
      </c>
      <c r="W313">
        <f t="shared" si="228"/>
        <v>0.0003710592719363894</v>
      </c>
      <c r="X313" s="1">
        <f>+'Volcano Summary'!E$12*10^9/Q313/3600/24/365</f>
        <v>0</v>
      </c>
      <c r="Y313" s="3">
        <f t="shared" si="229"/>
        <v>80</v>
      </c>
      <c r="Z313" s="1">
        <f>+Y313*'Volcano Summary'!B$19*'Volcano Summary'!B$20/1000</f>
        <v>3240000</v>
      </c>
      <c r="AA313" s="1">
        <f t="shared" si="206"/>
        <v>1240521.6848185768</v>
      </c>
      <c r="AB313" s="3">
        <f t="shared" si="223"/>
        <v>344.5893568940491</v>
      </c>
      <c r="AC313" s="1">
        <f t="shared" si="230"/>
        <v>600275289.8534782</v>
      </c>
      <c r="AD313" s="36">
        <f t="shared" si="231"/>
        <v>166743.1360704107</v>
      </c>
      <c r="AE313" s="36">
        <f t="shared" si="221"/>
        <v>6947.630669600446</v>
      </c>
      <c r="AG313" s="1">
        <f t="shared" si="207"/>
        <v>3239999999.9999995</v>
      </c>
      <c r="AH313" s="1">
        <f t="shared" si="232"/>
        <v>3240000</v>
      </c>
      <c r="AI313" s="1">
        <f t="shared" si="233"/>
        <v>3243239999.9999995</v>
      </c>
      <c r="AJ313" s="1">
        <f t="shared" si="234"/>
        <v>215600137438.24033</v>
      </c>
      <c r="AK313" s="1">
        <f t="shared" si="235"/>
        <v>215815737575.6786</v>
      </c>
      <c r="AL313" s="39">
        <f>+AJ313/('Volcano Summary'!C$8)*10^6</f>
        <v>14967.58204363358</v>
      </c>
      <c r="AM313" s="1">
        <f t="shared" si="208"/>
        <v>6947.630669600446</v>
      </c>
    </row>
    <row r="314" spans="1:39" ht="12.75" hidden="1">
      <c r="A314" s="1">
        <f t="shared" si="226"/>
        <v>1240521.6848185768</v>
      </c>
      <c r="B314" s="1">
        <f t="shared" si="227"/>
        <v>6961.741128810462</v>
      </c>
      <c r="C314" s="1">
        <f t="shared" si="200"/>
        <v>5520</v>
      </c>
      <c r="D314" s="12">
        <f t="shared" si="209"/>
        <v>83.83485126686931</v>
      </c>
      <c r="E314" s="38">
        <f t="shared" si="201"/>
        <v>885109670.3978921</v>
      </c>
      <c r="F314" s="38">
        <f t="shared" si="202"/>
        <v>569079521.9110943</v>
      </c>
      <c r="G314" s="38">
        <f t="shared" si="203"/>
        <v>253049373.42429674</v>
      </c>
      <c r="H314" s="18">
        <f t="shared" si="210"/>
        <v>0.005964106722255199</v>
      </c>
      <c r="I314" s="50">
        <f>+I313*LN(H313)/LN(H314)</f>
        <v>0.03195439652992829</v>
      </c>
      <c r="J314" s="3">
        <f t="shared" si="211"/>
        <v>20.55794311497535</v>
      </c>
      <c r="K314" s="12">
        <f t="shared" si="224"/>
        <v>0.9258112036096551</v>
      </c>
      <c r="L314" s="3">
        <f t="shared" si="212"/>
        <v>1462.8551583471794</v>
      </c>
      <c r="M314" s="12">
        <f t="shared" si="225"/>
        <v>0.7796266302473391</v>
      </c>
      <c r="N314" s="37">
        <f t="shared" si="213"/>
        <v>7808.421620788229</v>
      </c>
      <c r="O314" s="1">
        <f t="shared" si="204"/>
        <v>115838.71455194653</v>
      </c>
      <c r="P314">
        <f t="shared" si="214"/>
        <v>340.3508697681652</v>
      </c>
      <c r="Q314" s="1">
        <f t="shared" si="215"/>
        <v>2657.6030901518197</v>
      </c>
      <c r="R314" s="1">
        <f>+Q314*1000/'Material Properties'!AE$35</f>
        <v>2279124.3004210955</v>
      </c>
      <c r="S314" s="1">
        <f t="shared" si="216"/>
        <v>412.8848370328071</v>
      </c>
      <c r="T314" s="1">
        <f t="shared" si="217"/>
        <v>108.52746349118479</v>
      </c>
      <c r="U314">
        <f t="shared" si="205"/>
        <v>7.838891377292149E-05</v>
      </c>
      <c r="V314">
        <f>+'Material Properties'!AE$31+'Material Properties'!AE$33</f>
        <v>0.00029034311030761144</v>
      </c>
      <c r="W314">
        <f t="shared" si="228"/>
        <v>0.0003687320240805329</v>
      </c>
      <c r="X314" s="1">
        <f>+'Volcano Summary'!E$12*10^9/Q314/3600/24/365</f>
        <v>0</v>
      </c>
      <c r="Y314" s="3">
        <f t="shared" si="229"/>
        <v>80</v>
      </c>
      <c r="Z314" s="1">
        <f>+Y314*'Volcano Summary'!B$19*'Volcano Summary'!B$20/1000</f>
        <v>3240000</v>
      </c>
      <c r="AA314" s="1">
        <f t="shared" si="206"/>
        <v>1219143.6757453913</v>
      </c>
      <c r="AB314" s="3">
        <f t="shared" si="223"/>
        <v>338.65102104038647</v>
      </c>
      <c r="AC314" s="1">
        <f t="shared" si="230"/>
        <v>601494433.5292236</v>
      </c>
      <c r="AD314" s="36">
        <f t="shared" si="231"/>
        <v>167081.7870914511</v>
      </c>
      <c r="AE314" s="36">
        <f t="shared" si="221"/>
        <v>6961.741128810462</v>
      </c>
      <c r="AG314" s="1">
        <f t="shared" si="207"/>
        <v>3240000000</v>
      </c>
      <c r="AH314" s="1">
        <f t="shared" si="232"/>
        <v>3240000</v>
      </c>
      <c r="AI314" s="1">
        <f t="shared" si="233"/>
        <v>3243240000</v>
      </c>
      <c r="AJ314" s="1">
        <f t="shared" si="234"/>
        <v>218840137438.24033</v>
      </c>
      <c r="AK314" s="1">
        <f t="shared" si="235"/>
        <v>219058977575.6786</v>
      </c>
      <c r="AL314" s="39">
        <f>+AJ314/('Volcano Summary'!C$8)*10^6</f>
        <v>15192.512168435862</v>
      </c>
      <c r="AM314" s="1">
        <f t="shared" si="208"/>
        <v>6961.741128810462</v>
      </c>
    </row>
    <row r="315" spans="1:39" ht="12.75" hidden="1">
      <c r="A315" s="1">
        <f t="shared" si="226"/>
        <v>1219143.6757453913</v>
      </c>
      <c r="B315" s="1">
        <f t="shared" si="227"/>
        <v>6975.611828162012</v>
      </c>
      <c r="C315" s="1">
        <f t="shared" si="200"/>
        <v>5600</v>
      </c>
      <c r="D315" s="12">
        <f t="shared" si="209"/>
        <v>84.44016491289504</v>
      </c>
      <c r="E315" s="38">
        <f t="shared" si="201"/>
        <v>891500436.9302461</v>
      </c>
      <c r="F315" s="38">
        <f t="shared" si="202"/>
        <v>573188452.6848848</v>
      </c>
      <c r="G315" s="38">
        <f t="shared" si="203"/>
        <v>254876468.43952364</v>
      </c>
      <c r="H315" s="18">
        <f t="shared" si="210"/>
        <v>0.005921352717818342</v>
      </c>
      <c r="I315" s="50">
        <f aca="true" t="shared" si="236" ref="I315:I343">+I$314*LN(H$314)/LN(H315)</f>
        <v>0.031909576257122305</v>
      </c>
      <c r="J315" s="3">
        <f t="shared" si="211"/>
        <v>20.394785609454278</v>
      </c>
      <c r="K315" s="12">
        <f t="shared" si="224"/>
        <v>0.92352699853236</v>
      </c>
      <c r="L315" s="3">
        <f t="shared" si="212"/>
        <v>1459.245933089356</v>
      </c>
      <c r="M315" s="12">
        <f t="shared" si="225"/>
        <v>0.7785661064614522</v>
      </c>
      <c r="N315" s="37">
        <f t="shared" si="213"/>
        <v>7921.587151524288</v>
      </c>
      <c r="O315" s="1">
        <f t="shared" si="204"/>
        <v>116477.33068944963</v>
      </c>
      <c r="P315">
        <f t="shared" si="214"/>
        <v>341.2877535005463</v>
      </c>
      <c r="Q315" s="1">
        <f t="shared" si="215"/>
        <v>2703.5406831025157</v>
      </c>
      <c r="R315" s="1">
        <f>+Q315*1000/'Material Properties'!AE$35</f>
        <v>2318519.755967018</v>
      </c>
      <c r="S315" s="1">
        <f t="shared" si="216"/>
        <v>414.0213849941104</v>
      </c>
      <c r="T315" s="1">
        <f t="shared" si="217"/>
        <v>111.59291638279001</v>
      </c>
      <c r="U315">
        <f t="shared" si="205"/>
        <v>7.625280129471609E-05</v>
      </c>
      <c r="V315">
        <f>+'Material Properties'!AE$31+'Material Properties'!AE$33</f>
        <v>0.00029034311030761144</v>
      </c>
      <c r="W315">
        <f t="shared" si="228"/>
        <v>0.00036659591160232753</v>
      </c>
      <c r="X315" s="1">
        <f>+'Volcano Summary'!E$12*10^9/Q315/3600/24/365</f>
        <v>0</v>
      </c>
      <c r="Y315" s="3">
        <f t="shared" si="229"/>
        <v>80</v>
      </c>
      <c r="Z315" s="1">
        <f>+Y315*'Volcano Summary'!B$19*'Volcano Summary'!B$20/1000</f>
        <v>3240000</v>
      </c>
      <c r="AA315" s="1">
        <f t="shared" si="206"/>
        <v>1198428.4239739485</v>
      </c>
      <c r="AB315" s="3">
        <f t="shared" si="223"/>
        <v>332.8967844372079</v>
      </c>
      <c r="AC315" s="1">
        <f t="shared" si="230"/>
        <v>602692861.9531975</v>
      </c>
      <c r="AD315" s="36">
        <f t="shared" si="231"/>
        <v>167414.6838758883</v>
      </c>
      <c r="AE315" s="36">
        <f t="shared" si="221"/>
        <v>6975.611828162012</v>
      </c>
      <c r="AG315" s="1">
        <f t="shared" si="207"/>
        <v>3240000000</v>
      </c>
      <c r="AH315" s="1">
        <f t="shared" si="232"/>
        <v>3240000</v>
      </c>
      <c r="AI315" s="1">
        <f t="shared" si="233"/>
        <v>3243240000</v>
      </c>
      <c r="AJ315" s="1">
        <f t="shared" si="234"/>
        <v>222080137438.24033</v>
      </c>
      <c r="AK315" s="1">
        <f t="shared" si="235"/>
        <v>222302217575.6786</v>
      </c>
      <c r="AL315" s="39">
        <f>+AJ315/('Volcano Summary'!C$8)*10^6</f>
        <v>15417.442293238146</v>
      </c>
      <c r="AM315" s="1">
        <f t="shared" si="208"/>
        <v>6975.611828162012</v>
      </c>
    </row>
    <row r="316" spans="1:39" ht="12.75" hidden="1">
      <c r="A316" s="1">
        <f t="shared" si="226"/>
        <v>1198428.4239739485</v>
      </c>
      <c r="B316" s="1">
        <f t="shared" si="227"/>
        <v>6989.250097769331</v>
      </c>
      <c r="C316" s="1">
        <f t="shared" si="200"/>
        <v>5680</v>
      </c>
      <c r="D316" s="12">
        <f t="shared" si="209"/>
        <v>85.04117011245626</v>
      </c>
      <c r="E316" s="38">
        <f t="shared" si="201"/>
        <v>897845715.8453083</v>
      </c>
      <c r="F316" s="38">
        <f t="shared" si="202"/>
        <v>577268137.2845942</v>
      </c>
      <c r="G316" s="38">
        <f t="shared" si="203"/>
        <v>256690558.72388026</v>
      </c>
      <c r="H316" s="18">
        <f t="shared" si="210"/>
        <v>0.005879505177772282</v>
      </c>
      <c r="I316" s="50">
        <f t="shared" si="236"/>
        <v>0.0318655146545316</v>
      </c>
      <c r="J316" s="3">
        <f t="shared" si="211"/>
        <v>20.235345840369707</v>
      </c>
      <c r="K316" s="12">
        <f t="shared" si="224"/>
        <v>0.9212948417651761</v>
      </c>
      <c r="L316" s="3">
        <f t="shared" si="212"/>
        <v>1455.7189482911774</v>
      </c>
      <c r="M316" s="12">
        <f t="shared" si="225"/>
        <v>0.7775297479624025</v>
      </c>
      <c r="N316" s="37">
        <f t="shared" si="213"/>
        <v>8034.752682260349</v>
      </c>
      <c r="O316" s="1">
        <f t="shared" si="204"/>
        <v>117111.3442068757</v>
      </c>
      <c r="P316">
        <f t="shared" si="214"/>
        <v>342.21534770795375</v>
      </c>
      <c r="Q316" s="1">
        <f t="shared" si="215"/>
        <v>2749.615682907139</v>
      </c>
      <c r="R316" s="1">
        <f>+Q316*1000/'Material Properties'!AE$35</f>
        <v>2358033.0497638797</v>
      </c>
      <c r="S316" s="1">
        <f t="shared" si="216"/>
        <v>415.1466636908239</v>
      </c>
      <c r="T316" s="1">
        <f t="shared" si="217"/>
        <v>114.5725901706885</v>
      </c>
      <c r="U316">
        <f t="shared" si="205"/>
        <v>7.42851614164052E-05</v>
      </c>
      <c r="V316">
        <f>+'Material Properties'!AE$31+'Material Properties'!AE$33</f>
        <v>0.00029034311030761144</v>
      </c>
      <c r="W316">
        <f t="shared" si="228"/>
        <v>0.00036462827172401664</v>
      </c>
      <c r="X316" s="1">
        <f>+'Volcano Summary'!E$12*10^9/Q316/3600/24/365</f>
        <v>0</v>
      </c>
      <c r="Y316" s="3">
        <f t="shared" si="229"/>
        <v>80</v>
      </c>
      <c r="Z316" s="1">
        <f>+Y316*'Volcano Summary'!B$19*'Volcano Summary'!B$20/1000</f>
        <v>3240000</v>
      </c>
      <c r="AA316" s="1">
        <f t="shared" si="206"/>
        <v>1178346.4940723581</v>
      </c>
      <c r="AB316" s="3">
        <f t="shared" si="223"/>
        <v>327.31847057565506</v>
      </c>
      <c r="AC316" s="1">
        <f t="shared" si="230"/>
        <v>603871208.4472698</v>
      </c>
      <c r="AD316" s="36">
        <f t="shared" si="231"/>
        <v>167742.00234646394</v>
      </c>
      <c r="AE316" s="36">
        <f t="shared" si="221"/>
        <v>6989.250097769331</v>
      </c>
      <c r="AG316" s="1">
        <f t="shared" si="207"/>
        <v>3240000000.0000005</v>
      </c>
      <c r="AH316" s="1">
        <f t="shared" si="232"/>
        <v>3240000</v>
      </c>
      <c r="AI316" s="1">
        <f t="shared" si="233"/>
        <v>3243240000.0000005</v>
      </c>
      <c r="AJ316" s="1">
        <f t="shared" si="234"/>
        <v>225320137438.24033</v>
      </c>
      <c r="AK316" s="1">
        <f t="shared" si="235"/>
        <v>225545457575.6786</v>
      </c>
      <c r="AL316" s="39">
        <f>+AJ316/('Volcano Summary'!C$8)*10^6</f>
        <v>15642.372418040426</v>
      </c>
      <c r="AM316" s="1">
        <f t="shared" si="208"/>
        <v>6989.250097769331</v>
      </c>
    </row>
    <row r="317" spans="1:39" ht="12.75" hidden="1">
      <c r="A317" s="1">
        <f t="shared" si="226"/>
        <v>1178346.4940723581</v>
      </c>
      <c r="B317" s="1">
        <f t="shared" si="227"/>
        <v>7002.6629466474515</v>
      </c>
      <c r="C317" s="1">
        <f t="shared" si="200"/>
        <v>5760</v>
      </c>
      <c r="D317" s="12">
        <f t="shared" si="209"/>
        <v>85.63795757533302</v>
      </c>
      <c r="E317" s="38">
        <f t="shared" si="201"/>
        <v>904146464.8367149</v>
      </c>
      <c r="F317" s="38">
        <f t="shared" si="202"/>
        <v>581319191.4574625</v>
      </c>
      <c r="G317" s="38">
        <f t="shared" si="203"/>
        <v>258491918.07821023</v>
      </c>
      <c r="H317" s="18">
        <f t="shared" si="210"/>
        <v>0.005838532517081175</v>
      </c>
      <c r="I317" s="50">
        <f t="shared" si="236"/>
        <v>0.03182218829829792</v>
      </c>
      <c r="J317" s="3">
        <f t="shared" si="211"/>
        <v>20.07948811442925</v>
      </c>
      <c r="K317" s="12">
        <f t="shared" si="224"/>
        <v>0.9191128336020097</v>
      </c>
      <c r="L317" s="3">
        <f t="shared" si="212"/>
        <v>1452.2712022662877</v>
      </c>
      <c r="M317" s="12">
        <f t="shared" si="225"/>
        <v>0.7765166727437894</v>
      </c>
      <c r="N317" s="37">
        <f t="shared" si="213"/>
        <v>8147.91821299641</v>
      </c>
      <c r="O317" s="1">
        <f t="shared" si="204"/>
        <v>117740.84561097204</v>
      </c>
      <c r="P317">
        <f t="shared" si="214"/>
        <v>343.13385961017025</v>
      </c>
      <c r="Q317" s="1">
        <f t="shared" si="215"/>
        <v>2795.8266242134596</v>
      </c>
      <c r="R317" s="1">
        <f>+Q317*1000/'Material Properties'!AE$35</f>
        <v>2397662.9251455157</v>
      </c>
      <c r="S317" s="1">
        <f t="shared" si="216"/>
        <v>416.2609245044298</v>
      </c>
      <c r="T317" s="1">
        <f t="shared" si="217"/>
        <v>117.47010239272277</v>
      </c>
      <c r="U317">
        <f t="shared" si="205"/>
        <v>7.246677857505475E-05</v>
      </c>
      <c r="V317">
        <f>+'Material Properties'!AE$31+'Material Properties'!AE$33</f>
        <v>0.00029034311030761144</v>
      </c>
      <c r="W317">
        <f t="shared" si="228"/>
        <v>0.0003628098888826662</v>
      </c>
      <c r="X317" s="1">
        <f>+'Volcano Summary'!E$12*10^9/Q317/3600/24/365</f>
        <v>0</v>
      </c>
      <c r="Y317" s="3">
        <f t="shared" si="229"/>
        <v>80</v>
      </c>
      <c r="Z317" s="1">
        <f>+Y317*'Volcano Summary'!B$19*'Volcano Summary'!B$20/1000</f>
        <v>3240000</v>
      </c>
      <c r="AA317" s="1">
        <f t="shared" si="206"/>
        <v>1158870.1430695825</v>
      </c>
      <c r="AB317" s="3">
        <f t="shared" si="223"/>
        <v>321.908373074884</v>
      </c>
      <c r="AC317" s="1">
        <f t="shared" si="230"/>
        <v>605030078.5903394</v>
      </c>
      <c r="AD317" s="36">
        <f t="shared" si="231"/>
        <v>168063.91071953884</v>
      </c>
      <c r="AE317" s="36">
        <f t="shared" si="221"/>
        <v>7002.6629466474515</v>
      </c>
      <c r="AG317" s="1">
        <f t="shared" si="207"/>
        <v>3240000000</v>
      </c>
      <c r="AH317" s="1">
        <f t="shared" si="232"/>
        <v>3240000</v>
      </c>
      <c r="AI317" s="1">
        <f t="shared" si="233"/>
        <v>3243240000</v>
      </c>
      <c r="AJ317" s="1">
        <f t="shared" si="234"/>
        <v>228560137438.24033</v>
      </c>
      <c r="AK317" s="1">
        <f t="shared" si="235"/>
        <v>228788697575.6786</v>
      </c>
      <c r="AL317" s="39">
        <f>+AJ317/('Volcano Summary'!C$8)*10^6</f>
        <v>15867.302542842712</v>
      </c>
      <c r="AM317" s="1">
        <f t="shared" si="208"/>
        <v>7002.6629466474515</v>
      </c>
    </row>
    <row r="318" spans="1:39" ht="12.75" hidden="1">
      <c r="A318" s="1">
        <f t="shared" si="226"/>
        <v>1158870.1430695825</v>
      </c>
      <c r="B318" s="1">
        <f t="shared" si="227"/>
        <v>7015.857080924646</v>
      </c>
      <c r="C318" s="1">
        <f t="shared" si="200"/>
        <v>5840</v>
      </c>
      <c r="D318" s="12">
        <f t="shared" si="209"/>
        <v>86.23061487229087</v>
      </c>
      <c r="E318" s="38">
        <f t="shared" si="201"/>
        <v>910403608.4570863</v>
      </c>
      <c r="F318" s="38">
        <f t="shared" si="202"/>
        <v>585342209.6427789</v>
      </c>
      <c r="G318" s="38">
        <f t="shared" si="203"/>
        <v>260280810.8284714</v>
      </c>
      <c r="H318" s="18">
        <f t="shared" si="210"/>
        <v>0.0057984046703193435</v>
      </c>
      <c r="I318" s="50">
        <f t="shared" si="236"/>
        <v>0.03177957480351739</v>
      </c>
      <c r="J318" s="3">
        <f t="shared" si="211"/>
        <v>19.927083496147816</v>
      </c>
      <c r="K318" s="12">
        <f t="shared" si="224"/>
        <v>0.9169791689460696</v>
      </c>
      <c r="L318" s="3">
        <f t="shared" si="212"/>
        <v>1448.8998428185346</v>
      </c>
      <c r="M318" s="12">
        <f t="shared" si="225"/>
        <v>0.7755260427249602</v>
      </c>
      <c r="N318" s="37">
        <f t="shared" si="213"/>
        <v>8261.083743732474</v>
      </c>
      <c r="O318" s="1">
        <f t="shared" si="204"/>
        <v>118365.92241946812</v>
      </c>
      <c r="P318">
        <f t="shared" si="214"/>
        <v>344.04348913977157</v>
      </c>
      <c r="Q318" s="1">
        <f t="shared" si="215"/>
        <v>2842.172075269567</v>
      </c>
      <c r="R318" s="1">
        <f>+Q318*1000/'Material Properties'!AE$35</f>
        <v>2437408.1542609427</v>
      </c>
      <c r="S318" s="1">
        <f t="shared" si="216"/>
        <v>417.3644099761888</v>
      </c>
      <c r="T318" s="1">
        <f t="shared" si="217"/>
        <v>120.28886906470393</v>
      </c>
      <c r="U318">
        <f t="shared" si="205"/>
        <v>7.078125298306211E-05</v>
      </c>
      <c r="V318">
        <f>+'Material Properties'!AE$31+'Material Properties'!AE$33</f>
        <v>0.00029034311030761144</v>
      </c>
      <c r="W318">
        <f t="shared" si="228"/>
        <v>0.0003611243632906736</v>
      </c>
      <c r="X318" s="1">
        <f>+'Volcano Summary'!E$12*10^9/Q318/3600/24/365</f>
        <v>0</v>
      </c>
      <c r="Y318" s="3">
        <f t="shared" si="229"/>
        <v>80</v>
      </c>
      <c r="Z318" s="1">
        <f>+Y318*'Volcano Summary'!B$19*'Volcano Summary'!B$20/1000</f>
        <v>3240000</v>
      </c>
      <c r="AA318" s="1">
        <f t="shared" si="206"/>
        <v>1139973.2015496285</v>
      </c>
      <c r="AB318" s="3">
        <f t="shared" si="223"/>
        <v>316.6592226526746</v>
      </c>
      <c r="AC318" s="1">
        <f t="shared" si="230"/>
        <v>606170051.7918891</v>
      </c>
      <c r="AD318" s="36">
        <f t="shared" si="231"/>
        <v>168380.5699421915</v>
      </c>
      <c r="AE318" s="36">
        <f t="shared" si="221"/>
        <v>7015.857080924646</v>
      </c>
      <c r="AG318" s="1">
        <f t="shared" si="207"/>
        <v>3240000000</v>
      </c>
      <c r="AH318" s="1">
        <f t="shared" si="232"/>
        <v>3240000</v>
      </c>
      <c r="AI318" s="1">
        <f t="shared" si="233"/>
        <v>3243240000</v>
      </c>
      <c r="AJ318" s="1">
        <f t="shared" si="234"/>
        <v>231800137438.24033</v>
      </c>
      <c r="AK318" s="1">
        <f t="shared" si="235"/>
        <v>232031937575.6786</v>
      </c>
      <c r="AL318" s="39">
        <f>+AJ318/('Volcano Summary'!C$8)*10^6</f>
        <v>16092.232667644996</v>
      </c>
      <c r="AM318" s="1">
        <f t="shared" si="208"/>
        <v>7015.857080924646</v>
      </c>
    </row>
    <row r="319" spans="1:39" ht="12.75" hidden="1">
      <c r="A319" s="1">
        <f t="shared" si="226"/>
        <v>1139973.2015496285</v>
      </c>
      <c r="B319" s="1">
        <f t="shared" si="227"/>
        <v>7028.838920792455</v>
      </c>
      <c r="C319" s="1">
        <f t="shared" si="200"/>
        <v>5920</v>
      </c>
      <c r="D319" s="12">
        <f t="shared" si="209"/>
        <v>86.81922658508404</v>
      </c>
      <c r="E319" s="38">
        <f t="shared" si="201"/>
        <v>916618039.7017276</v>
      </c>
      <c r="F319" s="38">
        <f t="shared" si="202"/>
        <v>589337765.9901184</v>
      </c>
      <c r="G319" s="38">
        <f t="shared" si="203"/>
        <v>262057492.27850908</v>
      </c>
      <c r="H319" s="18">
        <f t="shared" si="210"/>
        <v>0.005759092998945264</v>
      </c>
      <c r="I319" s="50">
        <f t="shared" si="236"/>
        <v>0.03173765276456995</v>
      </c>
      <c r="J319" s="3">
        <f t="shared" si="211"/>
        <v>19.778009383939057</v>
      </c>
      <c r="K319" s="12">
        <f t="shared" si="224"/>
        <v>0.9148921313751469</v>
      </c>
      <c r="L319" s="3">
        <f t="shared" si="212"/>
        <v>1445.602157864642</v>
      </c>
      <c r="M319" s="12">
        <f t="shared" si="225"/>
        <v>0.7745570609956033</v>
      </c>
      <c r="N319" s="37">
        <f t="shared" si="213"/>
        <v>8374.249274468531</v>
      </c>
      <c r="O319" s="1">
        <f t="shared" si="204"/>
        <v>118986.65929909362</v>
      </c>
      <c r="P319">
        <f t="shared" si="214"/>
        <v>344.9444292912898</v>
      </c>
      <c r="Q319" s="1">
        <f t="shared" si="215"/>
        <v>2888.650636724545</v>
      </c>
      <c r="R319" s="1">
        <f>+Q319*1000/'Material Properties'!AE$35</f>
        <v>2477267.537045828</v>
      </c>
      <c r="S319" s="1">
        <f t="shared" si="216"/>
        <v>418.4573542307142</v>
      </c>
      <c r="T319" s="1">
        <f t="shared" si="217"/>
        <v>123.03211853534799</v>
      </c>
      <c r="U319">
        <f t="shared" si="205"/>
        <v>6.921450307938862E-05</v>
      </c>
      <c r="V319">
        <f>+'Material Properties'!AE$31+'Material Properties'!AE$33</f>
        <v>0.00029034311030761144</v>
      </c>
      <c r="W319">
        <f t="shared" si="228"/>
        <v>0.0003595576133870001</v>
      </c>
      <c r="X319" s="1">
        <f>+'Volcano Summary'!E$12*10^9/Q319/3600/24/365</f>
        <v>0</v>
      </c>
      <c r="Y319" s="3">
        <f t="shared" si="229"/>
        <v>80</v>
      </c>
      <c r="Z319" s="1">
        <f>+Y319*'Volcano Summary'!B$19*'Volcano Summary'!B$20/1000</f>
        <v>3240000</v>
      </c>
      <c r="AA319" s="1">
        <f t="shared" si="206"/>
        <v>1121630.964578621</v>
      </c>
      <c r="AB319" s="3">
        <f t="shared" si="223"/>
        <v>311.56415682739475</v>
      </c>
      <c r="AC319" s="1">
        <f t="shared" si="230"/>
        <v>607291682.7564677</v>
      </c>
      <c r="AD319" s="36">
        <f t="shared" si="231"/>
        <v>168692.1340990189</v>
      </c>
      <c r="AE319" s="36">
        <f t="shared" si="221"/>
        <v>7028.838920792455</v>
      </c>
      <c r="AG319" s="1">
        <f t="shared" si="207"/>
        <v>3239999999.9999995</v>
      </c>
      <c r="AH319" s="1">
        <f t="shared" si="232"/>
        <v>3240000</v>
      </c>
      <c r="AI319" s="1">
        <f t="shared" si="233"/>
        <v>3243239999.9999995</v>
      </c>
      <c r="AJ319" s="1">
        <f t="shared" si="234"/>
        <v>235040137438.24033</v>
      </c>
      <c r="AK319" s="1">
        <f t="shared" si="235"/>
        <v>235275177575.6786</v>
      </c>
      <c r="AL319" s="39">
        <f>+AJ319/('Volcano Summary'!C$8)*10^6</f>
        <v>16317.162792447278</v>
      </c>
      <c r="AM319" s="1">
        <f t="shared" si="208"/>
        <v>7028.838920792455</v>
      </c>
    </row>
    <row r="320" spans="1:39" ht="12.75" hidden="1">
      <c r="A320" s="1">
        <f t="shared" si="226"/>
        <v>1121630.964578621</v>
      </c>
      <c r="B320" s="1">
        <f t="shared" si="227"/>
        <v>7041.614616296301</v>
      </c>
      <c r="C320" s="1">
        <f t="shared" si="200"/>
        <v>6000</v>
      </c>
      <c r="D320" s="12">
        <f t="shared" si="209"/>
        <v>87.40387444736633</v>
      </c>
      <c r="E320" s="38">
        <f t="shared" si="201"/>
        <v>922790621.4963353</v>
      </c>
      <c r="F320" s="38">
        <f t="shared" si="202"/>
        <v>593306415.3158604</v>
      </c>
      <c r="G320" s="38">
        <f t="shared" si="203"/>
        <v>263822209.13538572</v>
      </c>
      <c r="H320" s="18">
        <f t="shared" si="210"/>
        <v>0.005720570205398555</v>
      </c>
      <c r="I320" s="50">
        <f t="shared" si="236"/>
        <v>0.03169640169963428</v>
      </c>
      <c r="J320" s="3">
        <f t="shared" si="211"/>
        <v>19.6321491181272</v>
      </c>
      <c r="K320" s="12">
        <f t="shared" si="224"/>
        <v>0.912850087653781</v>
      </c>
      <c r="L320" s="3">
        <f t="shared" si="212"/>
        <v>1442.3755667629966</v>
      </c>
      <c r="M320" s="12">
        <f t="shared" si="225"/>
        <v>0.7736089692678262</v>
      </c>
      <c r="N320" s="37">
        <f t="shared" si="213"/>
        <v>8487.414805204597</v>
      </c>
      <c r="O320" s="1">
        <f t="shared" si="204"/>
        <v>119603.13819545359</v>
      </c>
      <c r="P320">
        <f t="shared" si="214"/>
        <v>345.8368664492749</v>
      </c>
      <c r="Q320" s="1">
        <f t="shared" si="215"/>
        <v>2935.260940487141</v>
      </c>
      <c r="R320" s="1">
        <f>+Q320*1000/'Material Properties'!AE$35</f>
        <v>2517239.9002437023</v>
      </c>
      <c r="S320" s="1">
        <f t="shared" si="216"/>
        <v>419.5399833739504</v>
      </c>
      <c r="T320" s="1">
        <f t="shared" si="217"/>
        <v>125.70290421372329</v>
      </c>
      <c r="U320">
        <f t="shared" si="205"/>
        <v>6.77543698801673E-05</v>
      </c>
      <c r="V320">
        <f>+'Material Properties'!AE$31+'Material Properties'!AE$33</f>
        <v>0.00029034311030761144</v>
      </c>
      <c r="W320">
        <f t="shared" si="228"/>
        <v>0.00035809748018777874</v>
      </c>
      <c r="X320" s="1">
        <f>+'Volcano Summary'!E$12*10^9/Q320/3600/24/365</f>
        <v>0</v>
      </c>
      <c r="Y320" s="3">
        <f t="shared" si="229"/>
        <v>80</v>
      </c>
      <c r="Z320" s="1">
        <f>+Y320*'Volcano Summary'!B$19*'Volcano Summary'!B$20/1000</f>
        <v>3240000</v>
      </c>
      <c r="AA320" s="1">
        <f t="shared" si="206"/>
        <v>1103820.091532402</v>
      </c>
      <c r="AB320" s="3">
        <f t="shared" si="223"/>
        <v>306.6166920923339</v>
      </c>
      <c r="AC320" s="1">
        <f t="shared" si="230"/>
        <v>608395502.848</v>
      </c>
      <c r="AD320" s="36">
        <f t="shared" si="231"/>
        <v>168998.75079111123</v>
      </c>
      <c r="AE320" s="36">
        <f t="shared" si="221"/>
        <v>7041.614616296301</v>
      </c>
      <c r="AG320" s="1">
        <f t="shared" si="207"/>
        <v>3240000000</v>
      </c>
      <c r="AH320" s="1">
        <f t="shared" si="232"/>
        <v>3240000</v>
      </c>
      <c r="AI320" s="1">
        <f t="shared" si="233"/>
        <v>3243240000</v>
      </c>
      <c r="AJ320" s="1">
        <f t="shared" si="234"/>
        <v>238280137438.24033</v>
      </c>
      <c r="AK320" s="1">
        <f t="shared" si="235"/>
        <v>238518417575.6786</v>
      </c>
      <c r="AL320" s="39">
        <f>+AJ320/('Volcano Summary'!C$8)*10^6</f>
        <v>16542.092917249563</v>
      </c>
      <c r="AM320" s="1">
        <f t="shared" si="208"/>
        <v>7041.614616296301</v>
      </c>
    </row>
    <row r="321" spans="1:39" ht="12.75" hidden="1">
      <c r="A321" s="1">
        <f t="shared" si="226"/>
        <v>1103820.091532402</v>
      </c>
      <c r="B321" s="1">
        <f t="shared" si="227"/>
        <v>7054.1900620600945</v>
      </c>
      <c r="C321" s="1">
        <f t="shared" si="200"/>
        <v>6080</v>
      </c>
      <c r="D321" s="12">
        <f t="shared" si="209"/>
        <v>87.98463747717433</v>
      </c>
      <c r="E321" s="38">
        <f t="shared" si="201"/>
        <v>928922188.0957237</v>
      </c>
      <c r="F321" s="38">
        <f t="shared" si="202"/>
        <v>597248694.0024976</v>
      </c>
      <c r="G321" s="38">
        <f t="shared" si="203"/>
        <v>265575199.90927148</v>
      </c>
      <c r="H321" s="18">
        <f t="shared" si="210"/>
        <v>0.005682810253434458</v>
      </c>
      <c r="I321" s="50">
        <f t="shared" si="236"/>
        <v>0.03165580199904281</v>
      </c>
      <c r="J321" s="3">
        <f t="shared" si="211"/>
        <v>19.48939161808515</v>
      </c>
      <c r="K321" s="12">
        <f t="shared" si="224"/>
        <v>0.9108514826531923</v>
      </c>
      <c r="L321" s="3">
        <f t="shared" si="212"/>
        <v>1439.217612286738</v>
      </c>
      <c r="M321" s="12">
        <f t="shared" si="225"/>
        <v>0.7726810455175529</v>
      </c>
      <c r="N321" s="37">
        <f t="shared" si="213"/>
        <v>8600.580335940656</v>
      </c>
      <c r="O321" s="1">
        <f t="shared" si="204"/>
        <v>120215.43845534258</v>
      </c>
      <c r="P321">
        <f t="shared" si="214"/>
        <v>346.7209806967882</v>
      </c>
      <c r="Q321" s="1">
        <f t="shared" si="215"/>
        <v>2982.0016486388568</v>
      </c>
      <c r="R321" s="1">
        <f>+Q321*1000/'Material Properties'!AE$35</f>
        <v>2557324.0964738396</v>
      </c>
      <c r="S321" s="1">
        <f t="shared" si="216"/>
        <v>420.6125158674078</v>
      </c>
      <c r="T321" s="1">
        <f t="shared" si="217"/>
        <v>128.30411627477542</v>
      </c>
      <c r="U321">
        <f t="shared" si="205"/>
        <v>6.639029968486124E-05</v>
      </c>
      <c r="V321">
        <f>+'Material Properties'!AE$31+'Material Properties'!AE$33</f>
        <v>0.00029034311030761144</v>
      </c>
      <c r="W321">
        <f t="shared" si="228"/>
        <v>0.00035673340999247267</v>
      </c>
      <c r="X321" s="1">
        <f>+'Volcano Summary'!E$12*10^9/Q321/3600/24/365</f>
        <v>0</v>
      </c>
      <c r="Y321" s="3">
        <f t="shared" si="229"/>
        <v>80</v>
      </c>
      <c r="Z321" s="1">
        <f>+Y321*'Volcano Summary'!B$19*'Volcano Summary'!B$20/1000</f>
        <v>3240000</v>
      </c>
      <c r="AA321" s="1">
        <f t="shared" si="206"/>
        <v>1086518.5139917368</v>
      </c>
      <c r="AB321" s="3">
        <f t="shared" si="223"/>
        <v>301.810698331038</v>
      </c>
      <c r="AC321" s="1">
        <f t="shared" si="230"/>
        <v>609482021.3619918</v>
      </c>
      <c r="AD321" s="36">
        <f t="shared" si="231"/>
        <v>169300.56148944228</v>
      </c>
      <c r="AE321" s="36">
        <f t="shared" si="221"/>
        <v>7054.1900620600945</v>
      </c>
      <c r="AG321" s="1">
        <f t="shared" si="207"/>
        <v>3240000000</v>
      </c>
      <c r="AH321" s="1">
        <f t="shared" si="232"/>
        <v>3240000</v>
      </c>
      <c r="AI321" s="1">
        <f t="shared" si="233"/>
        <v>3243240000</v>
      </c>
      <c r="AJ321" s="1">
        <f t="shared" si="234"/>
        <v>241520137438.24033</v>
      </c>
      <c r="AK321" s="1">
        <f t="shared" si="235"/>
        <v>241761657575.6786</v>
      </c>
      <c r="AL321" s="39">
        <f>+AJ321/('Volcano Summary'!C$8)*10^6</f>
        <v>16767.023042051842</v>
      </c>
      <c r="AM321" s="1">
        <f t="shared" si="208"/>
        <v>7054.1900620600945</v>
      </c>
    </row>
    <row r="322" spans="1:39" ht="12.75" hidden="1">
      <c r="A322" s="1">
        <f t="shared" si="226"/>
        <v>1086518.5139917368</v>
      </c>
      <c r="B322" s="1">
        <f t="shared" si="227"/>
        <v>7066.570911029538</v>
      </c>
      <c r="C322" s="1">
        <f t="shared" si="200"/>
        <v>6160</v>
      </c>
      <c r="D322" s="12">
        <f t="shared" si="209"/>
        <v>88.5615921015911</v>
      </c>
      <c r="E322" s="38">
        <f t="shared" si="201"/>
        <v>935013546.3999983</v>
      </c>
      <c r="F322" s="38">
        <f t="shared" si="202"/>
        <v>601165120.8448654</v>
      </c>
      <c r="G322" s="38">
        <f t="shared" si="203"/>
        <v>267316695.2897328</v>
      </c>
      <c r="H322" s="18">
        <f t="shared" si="210"/>
        <v>0.0056457882941675</v>
      </c>
      <c r="I322" s="50">
        <f t="shared" si="236"/>
        <v>0.03161583487716413</v>
      </c>
      <c r="J322" s="3">
        <f t="shared" si="211"/>
        <v>19.349631045982584</v>
      </c>
      <c r="K322" s="12">
        <f t="shared" si="224"/>
        <v>0.9088948346437563</v>
      </c>
      <c r="L322" s="3">
        <f t="shared" si="212"/>
        <v>1436.1259531854942</v>
      </c>
      <c r="M322" s="12">
        <f t="shared" si="225"/>
        <v>0.7717726017988862</v>
      </c>
      <c r="N322" s="37">
        <f t="shared" si="213"/>
        <v>8713.745866676718</v>
      </c>
      <c r="O322" s="1">
        <f t="shared" si="204"/>
        <v>120823.63694203203</v>
      </c>
      <c r="P322">
        <f t="shared" si="214"/>
        <v>347.59694610573325</v>
      </c>
      <c r="Q322" s="1">
        <f t="shared" si="215"/>
        <v>3028.871452398283</v>
      </c>
      <c r="R322" s="1">
        <f>+Q322*1000/'Material Properties'!AE$35</f>
        <v>2597519.003343087</v>
      </c>
      <c r="S322" s="1">
        <f t="shared" si="216"/>
        <v>421.6751628803713</v>
      </c>
      <c r="T322" s="1">
        <f t="shared" si="217"/>
        <v>130.83849243735744</v>
      </c>
      <c r="U322">
        <f t="shared" si="205"/>
        <v>6.511308761240645E-05</v>
      </c>
      <c r="V322">
        <f>+'Material Properties'!AE$31+'Material Properties'!AE$33</f>
        <v>0.00029034311030761144</v>
      </c>
      <c r="W322">
        <f t="shared" si="228"/>
        <v>0.0003554561979200179</v>
      </c>
      <c r="X322" s="1">
        <f>+'Volcano Summary'!E$12*10^9/Q322/3600/24/365</f>
        <v>0</v>
      </c>
      <c r="Y322" s="3">
        <f t="shared" si="229"/>
        <v>80</v>
      </c>
      <c r="Z322" s="1">
        <f>+Y322*'Volcano Summary'!B$19*'Volcano Summary'!B$20/1000</f>
        <v>3240000</v>
      </c>
      <c r="AA322" s="1">
        <f t="shared" si="206"/>
        <v>1069705.350959858</v>
      </c>
      <c r="AB322" s="3">
        <f t="shared" si="223"/>
        <v>297.1403752666272</v>
      </c>
      <c r="AC322" s="1">
        <f t="shared" si="230"/>
        <v>610551726.7129517</v>
      </c>
      <c r="AD322" s="36">
        <f t="shared" si="231"/>
        <v>169597.7018647089</v>
      </c>
      <c r="AE322" s="36">
        <f t="shared" si="221"/>
        <v>7066.570911029538</v>
      </c>
      <c r="AG322" s="1">
        <f t="shared" si="207"/>
        <v>3240000000</v>
      </c>
      <c r="AH322" s="1">
        <f t="shared" si="232"/>
        <v>3240000</v>
      </c>
      <c r="AI322" s="1">
        <f t="shared" si="233"/>
        <v>3243240000</v>
      </c>
      <c r="AJ322" s="1">
        <f t="shared" si="234"/>
        <v>244760137438.24033</v>
      </c>
      <c r="AK322" s="1">
        <f t="shared" si="235"/>
        <v>245004897575.6786</v>
      </c>
      <c r="AL322" s="39">
        <f>+AJ322/('Volcano Summary'!C$8)*10^6</f>
        <v>16991.953166854128</v>
      </c>
      <c r="AM322" s="1">
        <f t="shared" si="208"/>
        <v>7066.570911029538</v>
      </c>
    </row>
    <row r="323" spans="1:39" ht="12.75" hidden="1">
      <c r="A323" s="1">
        <f t="shared" si="226"/>
        <v>1069705.350959858</v>
      </c>
      <c r="B323" s="1">
        <f t="shared" si="227"/>
        <v>7078.762587311187</v>
      </c>
      <c r="C323" s="1">
        <f t="shared" si="200"/>
        <v>6240</v>
      </c>
      <c r="D323" s="12">
        <f t="shared" si="209"/>
        <v>89.13481227414694</v>
      </c>
      <c r="E323" s="38">
        <f t="shared" si="201"/>
        <v>941065477.1940454</v>
      </c>
      <c r="F323" s="38">
        <f t="shared" si="202"/>
        <v>605056197.8470715</v>
      </c>
      <c r="G323" s="38">
        <f t="shared" si="203"/>
        <v>269046918.50009763</v>
      </c>
      <c r="H323" s="18">
        <f t="shared" si="210"/>
        <v>0.005609480597347062</v>
      </c>
      <c r="I323" s="50">
        <f t="shared" si="236"/>
        <v>0.031576482327529416</v>
      </c>
      <c r="J323" s="3">
        <f t="shared" si="211"/>
        <v>19.212766494874867</v>
      </c>
      <c r="K323" s="12">
        <f t="shared" si="224"/>
        <v>0.9069787309282482</v>
      </c>
      <c r="L323" s="3">
        <f t="shared" si="212"/>
        <v>1433.0983572855628</v>
      </c>
      <c r="M323" s="12">
        <f t="shared" si="225"/>
        <v>0.770882982216686</v>
      </c>
      <c r="N323" s="37">
        <f t="shared" si="213"/>
        <v>8826.91139741278</v>
      </c>
      <c r="O323" s="1">
        <f t="shared" si="204"/>
        <v>121427.80814401903</v>
      </c>
      <c r="P323">
        <f t="shared" si="214"/>
        <v>348.4649310103085</v>
      </c>
      <c r="Q323" s="1">
        <f t="shared" si="215"/>
        <v>3075.86907113355</v>
      </c>
      <c r="R323" s="1">
        <f>+Q323*1000/'Material Properties'!AE$35</f>
        <v>2637823.522598953</v>
      </c>
      <c r="S323" s="1">
        <f t="shared" si="216"/>
        <v>422.7281286216271</v>
      </c>
      <c r="T323" s="1">
        <f t="shared" si="217"/>
        <v>133.30862789934577</v>
      </c>
      <c r="U323">
        <f t="shared" si="205"/>
        <v>6.391466878294353E-05</v>
      </c>
      <c r="V323">
        <f>+'Material Properties'!AE$31+'Material Properties'!AE$33</f>
        <v>0.00029034311030761144</v>
      </c>
      <c r="W323">
        <f t="shared" si="228"/>
        <v>0.00035425777909055495</v>
      </c>
      <c r="X323" s="1">
        <f>+'Volcano Summary'!E$12*10^9/Q323/3600/24/365</f>
        <v>0</v>
      </c>
      <c r="Y323" s="3">
        <f t="shared" si="229"/>
        <v>80</v>
      </c>
      <c r="Z323" s="1">
        <f>+Y323*'Volcano Summary'!B$19*'Volcano Summary'!B$20/1000</f>
        <v>3240000</v>
      </c>
      <c r="AA323" s="1">
        <f t="shared" si="206"/>
        <v>1053360.830734568</v>
      </c>
      <c r="AB323" s="3">
        <f t="shared" si="223"/>
        <v>292.6002307596022</v>
      </c>
      <c r="AC323" s="1">
        <f t="shared" si="230"/>
        <v>611605087.5436863</v>
      </c>
      <c r="AD323" s="36">
        <f t="shared" si="231"/>
        <v>169890.3020954685</v>
      </c>
      <c r="AE323" s="36">
        <f t="shared" si="221"/>
        <v>7078.762587311187</v>
      </c>
      <c r="AG323" s="1">
        <f t="shared" si="207"/>
        <v>3240000000</v>
      </c>
      <c r="AH323" s="1">
        <f t="shared" si="232"/>
        <v>3240000</v>
      </c>
      <c r="AI323" s="1">
        <f t="shared" si="233"/>
        <v>3243240000</v>
      </c>
      <c r="AJ323" s="1">
        <f t="shared" si="234"/>
        <v>248000137438.24033</v>
      </c>
      <c r="AK323" s="1">
        <f t="shared" si="235"/>
        <v>248248137575.6786</v>
      </c>
      <c r="AL323" s="39">
        <f>+AJ323/('Volcano Summary'!C$8)*10^6</f>
        <v>17216.88329165641</v>
      </c>
      <c r="AM323" s="1">
        <f t="shared" si="208"/>
        <v>7078.762587311187</v>
      </c>
    </row>
    <row r="324" spans="1:39" ht="12.75" hidden="1">
      <c r="A324" s="1">
        <f t="shared" si="226"/>
        <v>1053360.830734568</v>
      </c>
      <c r="B324" s="1">
        <f t="shared" si="227"/>
        <v>7090.770298177341</v>
      </c>
      <c r="C324" s="1">
        <f aca="true" t="shared" si="237" ref="C324:C382">+C154*10</f>
        <v>6320</v>
      </c>
      <c r="D324" s="12">
        <f t="shared" si="209"/>
        <v>89.70436958546796</v>
      </c>
      <c r="E324" s="38">
        <f t="shared" si="201"/>
        <v>947078736.3157357</v>
      </c>
      <c r="F324" s="38">
        <f t="shared" si="202"/>
        <v>608922410.973588</v>
      </c>
      <c r="G324" s="38">
        <f t="shared" si="203"/>
        <v>270766085.63144046</v>
      </c>
      <c r="H324" s="18">
        <f t="shared" si="210"/>
        <v>0.005573864487432947</v>
      </c>
      <c r="I324" s="50">
        <f t="shared" si="236"/>
        <v>0.03153772708094542</v>
      </c>
      <c r="J324" s="3">
        <f t="shared" si="211"/>
        <v>19.0787016990834</v>
      </c>
      <c r="K324" s="12">
        <f t="shared" si="224"/>
        <v>0.9051018237871677</v>
      </c>
      <c r="L324" s="3">
        <f t="shared" si="212"/>
        <v>1430.132695083201</v>
      </c>
      <c r="M324" s="12">
        <f t="shared" si="225"/>
        <v>0.7700115610440414</v>
      </c>
      <c r="N324" s="37">
        <f t="shared" si="213"/>
        <v>8940.07692814884</v>
      </c>
      <c r="O324" s="1">
        <f t="shared" si="204"/>
        <v>122028.02427768722</v>
      </c>
      <c r="P324">
        <f t="shared" si="214"/>
        <v>349.3250982647643</v>
      </c>
      <c r="Q324" s="1">
        <f t="shared" si="215"/>
        <v>3122.9932514201455</v>
      </c>
      <c r="R324" s="1">
        <f>+Q324*1000/'Material Properties'!AE$35</f>
        <v>2678236.5793216066</v>
      </c>
      <c r="S324" s="1">
        <f t="shared" si="216"/>
        <v>423.77161065215296</v>
      </c>
      <c r="T324" s="1">
        <f t="shared" si="217"/>
        <v>135.7169845057383</v>
      </c>
      <c r="U324">
        <f t="shared" si="205"/>
        <v>6.278794712848974E-05</v>
      </c>
      <c r="V324">
        <f>+'Material Properties'!AE$31+'Material Properties'!AE$33</f>
        <v>0.00029034311030761144</v>
      </c>
      <c r="W324">
        <f t="shared" si="228"/>
        <v>0.0003531310574361012</v>
      </c>
      <c r="X324" s="1">
        <f>+'Volcano Summary'!E$12*10^9/Q324/3600/24/365</f>
        <v>0</v>
      </c>
      <c r="Y324" s="3">
        <f t="shared" si="229"/>
        <v>80</v>
      </c>
      <c r="Z324" s="1">
        <f>+Y324*'Volcano Summary'!B$19*'Volcano Summary'!B$20/1000</f>
        <v>3240000</v>
      </c>
      <c r="AA324" s="1">
        <f t="shared" si="206"/>
        <v>1037466.2188356145</v>
      </c>
      <c r="AB324" s="3">
        <f t="shared" si="223"/>
        <v>288.1850607876707</v>
      </c>
      <c r="AC324" s="1">
        <f t="shared" si="230"/>
        <v>612642553.7625219</v>
      </c>
      <c r="AD324" s="36">
        <f t="shared" si="231"/>
        <v>170178.4871562562</v>
      </c>
      <c r="AE324" s="36">
        <f t="shared" si="221"/>
        <v>7090.770298177341</v>
      </c>
      <c r="AG324" s="1">
        <f t="shared" si="207"/>
        <v>3240000000</v>
      </c>
      <c r="AH324" s="1">
        <f t="shared" si="232"/>
        <v>3240000</v>
      </c>
      <c r="AI324" s="1">
        <f t="shared" si="233"/>
        <v>3243240000</v>
      </c>
      <c r="AJ324" s="1">
        <f t="shared" si="234"/>
        <v>251240137438.24033</v>
      </c>
      <c r="AK324" s="1">
        <f t="shared" si="235"/>
        <v>251491377575.6786</v>
      </c>
      <c r="AL324" s="39">
        <f>+AJ324/('Volcano Summary'!C$8)*10^6</f>
        <v>17441.813416458695</v>
      </c>
      <c r="AM324" s="1">
        <f t="shared" si="208"/>
        <v>7090.770298177341</v>
      </c>
    </row>
    <row r="325" spans="1:39" ht="12.75" hidden="1">
      <c r="A325" s="1">
        <f t="shared" si="226"/>
        <v>1037466.2188356145</v>
      </c>
      <c r="B325" s="1">
        <f t="shared" si="227"/>
        <v>7102.599045300591</v>
      </c>
      <c r="C325" s="1">
        <f t="shared" si="237"/>
        <v>6400</v>
      </c>
      <c r="D325" s="12">
        <f t="shared" si="209"/>
        <v>90.270333367641</v>
      </c>
      <c r="E325" s="38">
        <f t="shared" si="201"/>
        <v>953054055.7577862</v>
      </c>
      <c r="F325" s="38">
        <f t="shared" si="202"/>
        <v>612764230.857693</v>
      </c>
      <c r="G325" s="38">
        <f t="shared" si="203"/>
        <v>272474405.9575997</v>
      </c>
      <c r="H325" s="18">
        <f t="shared" si="210"/>
        <v>0.0055389182840797375</v>
      </c>
      <c r="I325" s="50">
        <f t="shared" si="236"/>
        <v>0.03149955256636003</v>
      </c>
      <c r="J325" s="3">
        <f t="shared" si="211"/>
        <v>18.94734476501424</v>
      </c>
      <c r="K325" s="12">
        <f t="shared" si="224"/>
        <v>0.9032628267101995</v>
      </c>
      <c r="L325" s="3">
        <f t="shared" si="212"/>
        <v>1427.226933790035</v>
      </c>
      <c r="M325" s="12">
        <f t="shared" si="225"/>
        <v>0.7691577409725919</v>
      </c>
      <c r="N325" s="37">
        <f t="shared" si="213"/>
        <v>9053.242458884899</v>
      </c>
      <c r="O325" s="1">
        <f t="shared" si="204"/>
        <v>122624.3553842922</v>
      </c>
      <c r="P325">
        <f t="shared" si="214"/>
        <v>350.17760548654763</v>
      </c>
      <c r="Q325" s="1">
        <f t="shared" si="215"/>
        <v>3170.2427661414586</v>
      </c>
      <c r="R325" s="1">
        <f>+Q325*1000/'Material Properties'!AE$35</f>
        <v>2718757.121152515</v>
      </c>
      <c r="S325" s="1">
        <f t="shared" si="216"/>
        <v>424.8058001800805</v>
      </c>
      <c r="T325" s="1">
        <f t="shared" si="217"/>
        <v>138.06589921791715</v>
      </c>
      <c r="U325">
        <f t="shared" si="205"/>
        <v>6.172665415238815E-05</v>
      </c>
      <c r="V325">
        <f>+'Material Properties'!AE$31+'Material Properties'!AE$33</f>
        <v>0.00029034311030761144</v>
      </c>
      <c r="W325">
        <f t="shared" si="228"/>
        <v>0.0003520697644599996</v>
      </c>
      <c r="X325" s="1">
        <f>+'Volcano Summary'!E$12*10^9/Q325/3600/24/365</f>
        <v>0</v>
      </c>
      <c r="Y325" s="3">
        <f t="shared" si="229"/>
        <v>80</v>
      </c>
      <c r="Z325" s="1">
        <f>+Y325*'Volcano Summary'!B$19*'Volcano Summary'!B$20/1000</f>
        <v>3240000</v>
      </c>
      <c r="AA325" s="1">
        <f t="shared" si="206"/>
        <v>1022003.7514488026</v>
      </c>
      <c r="AB325" s="3">
        <f t="shared" si="223"/>
        <v>283.8899309580007</v>
      </c>
      <c r="AC325" s="1">
        <f t="shared" si="230"/>
        <v>613664557.5139706</v>
      </c>
      <c r="AD325" s="36">
        <f t="shared" si="231"/>
        <v>170462.37708721418</v>
      </c>
      <c r="AE325" s="36">
        <f t="shared" si="221"/>
        <v>7102.599045300591</v>
      </c>
      <c r="AG325" s="1">
        <f t="shared" si="207"/>
        <v>3240000000</v>
      </c>
      <c r="AH325" s="1">
        <f t="shared" si="232"/>
        <v>3240000</v>
      </c>
      <c r="AI325" s="1">
        <f t="shared" si="233"/>
        <v>3243240000</v>
      </c>
      <c r="AJ325" s="1">
        <f t="shared" si="234"/>
        <v>254480137438.24033</v>
      </c>
      <c r="AK325" s="1">
        <f t="shared" si="235"/>
        <v>254734617575.6786</v>
      </c>
      <c r="AL325" s="39">
        <f>+AJ325/('Volcano Summary'!C$8)*10^6</f>
        <v>17666.743541260974</v>
      </c>
      <c r="AM325" s="1">
        <f t="shared" si="208"/>
        <v>7102.599045300591</v>
      </c>
    </row>
    <row r="326" spans="1:39" ht="12.75" hidden="1">
      <c r="A326" s="1">
        <f t="shared" si="226"/>
        <v>1022003.7514488026</v>
      </c>
      <c r="B326" s="1">
        <f t="shared" si="227"/>
        <v>7114.25363527631</v>
      </c>
      <c r="C326" s="1">
        <f t="shared" si="237"/>
        <v>6480</v>
      </c>
      <c r="D326" s="12">
        <f t="shared" si="209"/>
        <v>90.83277079272577</v>
      </c>
      <c r="E326" s="38">
        <f t="shared" si="201"/>
        <v>958992144.7078282</v>
      </c>
      <c r="F326" s="38">
        <f t="shared" si="202"/>
        <v>616582113.4701791</v>
      </c>
      <c r="G326" s="38">
        <f t="shared" si="203"/>
        <v>274172082.23253006</v>
      </c>
      <c r="H326" s="18">
        <f t="shared" si="210"/>
        <v>0.005504621246675015</v>
      </c>
      <c r="I326" s="50">
        <f t="shared" si="236"/>
        <v>0.03146194287426753</v>
      </c>
      <c r="J326" s="3">
        <f t="shared" si="211"/>
        <v>18.818607920736866</v>
      </c>
      <c r="K326" s="12">
        <f t="shared" si="224"/>
        <v>0.9014605108903162</v>
      </c>
      <c r="L326" s="3">
        <f t="shared" si="212"/>
        <v>1424.3791317934642</v>
      </c>
      <c r="M326" s="12">
        <f t="shared" si="225"/>
        <v>0.7683209514847891</v>
      </c>
      <c r="N326" s="37">
        <f t="shared" si="213"/>
        <v>9166.407989620964</v>
      </c>
      <c r="O326" s="1">
        <f t="shared" si="204"/>
        <v>123216.86942165247</v>
      </c>
      <c r="P326">
        <f t="shared" si="214"/>
        <v>351.0226052858312</v>
      </c>
      <c r="Q326" s="1">
        <f t="shared" si="215"/>
        <v>3217.6164136296093</v>
      </c>
      <c r="R326" s="1">
        <f>+Q326*1000/'Material Properties'!AE$35</f>
        <v>2759384.1175576327</v>
      </c>
      <c r="S326" s="1">
        <f t="shared" si="216"/>
        <v>425.8308823391408</v>
      </c>
      <c r="T326" s="1">
        <f t="shared" si="217"/>
        <v>140.35759194542288</v>
      </c>
      <c r="U326">
        <f t="shared" si="205"/>
        <v>6.0725231698089594E-05</v>
      </c>
      <c r="V326">
        <f>+'Material Properties'!AE$31+'Material Properties'!AE$33</f>
        <v>0.00029034311030761144</v>
      </c>
      <c r="W326">
        <f t="shared" si="228"/>
        <v>0.00035106834200570106</v>
      </c>
      <c r="X326" s="1">
        <f>+'Volcano Summary'!E$12*10^9/Q326/3600/24/365</f>
        <v>0</v>
      </c>
      <c r="Y326" s="3">
        <f t="shared" si="229"/>
        <v>80</v>
      </c>
      <c r="Z326" s="1">
        <f>+Y326*'Volcano Summary'!B$19*'Volcano Summary'!B$20/1000</f>
        <v>3240000</v>
      </c>
      <c r="AA326" s="1">
        <f t="shared" si="206"/>
        <v>1006956.5739022138</v>
      </c>
      <c r="AB326" s="3">
        <f t="shared" si="223"/>
        <v>279.7101594172816</v>
      </c>
      <c r="AC326" s="1">
        <f t="shared" si="230"/>
        <v>614671514.0878729</v>
      </c>
      <c r="AD326" s="36">
        <f t="shared" si="231"/>
        <v>170742.08724663145</v>
      </c>
      <c r="AE326" s="36">
        <f t="shared" si="221"/>
        <v>7114.25363527631</v>
      </c>
      <c r="AG326" s="1">
        <f t="shared" si="207"/>
        <v>3240000000</v>
      </c>
      <c r="AH326" s="1">
        <f t="shared" si="232"/>
        <v>3240000</v>
      </c>
      <c r="AI326" s="1">
        <f t="shared" si="233"/>
        <v>3243240000</v>
      </c>
      <c r="AJ326" s="1">
        <f t="shared" si="234"/>
        <v>257720137438.24033</v>
      </c>
      <c r="AK326" s="1">
        <f t="shared" si="235"/>
        <v>257977857575.6786</v>
      </c>
      <c r="AL326" s="39">
        <f>+AJ326/('Volcano Summary'!C$8)*10^6</f>
        <v>17891.67366606326</v>
      </c>
      <c r="AM326" s="1">
        <f t="shared" si="208"/>
        <v>7114.25363527631</v>
      </c>
    </row>
    <row r="327" spans="1:39" ht="12.75" hidden="1">
      <c r="A327" s="1">
        <f t="shared" si="226"/>
        <v>1006956.5739022138</v>
      </c>
      <c r="B327" s="1">
        <f t="shared" si="227"/>
        <v>7125.738689486239</v>
      </c>
      <c r="C327" s="1">
        <f t="shared" si="237"/>
        <v>6560</v>
      </c>
      <c r="D327" s="12">
        <f t="shared" si="209"/>
        <v>91.39174696581014</v>
      </c>
      <c r="E327" s="38">
        <f t="shared" si="201"/>
        <v>964893690.5308659</v>
      </c>
      <c r="F327" s="38">
        <f t="shared" si="202"/>
        <v>620376500.7510242</v>
      </c>
      <c r="G327" s="38">
        <f t="shared" si="203"/>
        <v>275859310.97118247</v>
      </c>
      <c r="H327" s="18">
        <f t="shared" si="210"/>
        <v>0.005470953522609116</v>
      </c>
      <c r="I327" s="50">
        <f t="shared" si="236"/>
        <v>0.03142488272245949</v>
      </c>
      <c r="J327" s="3">
        <f t="shared" si="211"/>
        <v>18.69240728280181</v>
      </c>
      <c r="K327" s="12">
        <f t="shared" si="224"/>
        <v>0.8996937019592255</v>
      </c>
      <c r="L327" s="3">
        <f t="shared" si="212"/>
        <v>1421.5874334984094</v>
      </c>
      <c r="M327" s="12">
        <f t="shared" si="225"/>
        <v>0.7675006473382112</v>
      </c>
      <c r="N327" s="37">
        <f t="shared" si="213"/>
        <v>9279.573520357026</v>
      </c>
      <c r="O327" s="1">
        <f t="shared" si="204"/>
        <v>123805.63235089633</v>
      </c>
      <c r="P327">
        <f t="shared" si="214"/>
        <v>351.86024548234536</v>
      </c>
      <c r="Q327" s="1">
        <f t="shared" si="215"/>
        <v>3265.113016844295</v>
      </c>
      <c r="R327" s="1">
        <f>+Q327*1000/'Material Properties'!AE$35</f>
        <v>2800116.5591231883</v>
      </c>
      <c r="S327" s="1">
        <f t="shared" si="216"/>
        <v>426.84703645170555</v>
      </c>
      <c r="T327" s="1">
        <f t="shared" si="217"/>
        <v>142.5941727955112</v>
      </c>
      <c r="U327">
        <f t="shared" si="205"/>
        <v>5.977873409691751E-05</v>
      </c>
      <c r="V327">
        <f>+'Material Properties'!AE$31+'Material Properties'!AE$33</f>
        <v>0.00029034311030761144</v>
      </c>
      <c r="W327">
        <f t="shared" si="228"/>
        <v>0.00035012184440452894</v>
      </c>
      <c r="X327" s="1">
        <f>+'Volcano Summary'!E$12*10^9/Q327/3600/24/365</f>
        <v>0</v>
      </c>
      <c r="Y327" s="3">
        <f t="shared" si="229"/>
        <v>80</v>
      </c>
      <c r="Z327" s="1">
        <f>+Y327*'Volcano Summary'!B$19*'Volcano Summary'!B$20/1000</f>
        <v>3240000</v>
      </c>
      <c r="AA327" s="1">
        <f t="shared" si="206"/>
        <v>992308.6837378246</v>
      </c>
      <c r="AB327" s="3">
        <f t="shared" si="223"/>
        <v>275.6413010382846</v>
      </c>
      <c r="AC327" s="1">
        <f t="shared" si="230"/>
        <v>615663822.7716107</v>
      </c>
      <c r="AD327" s="36">
        <f t="shared" si="231"/>
        <v>171017.72854766974</v>
      </c>
      <c r="AE327" s="36">
        <f t="shared" si="221"/>
        <v>7125.738689486239</v>
      </c>
      <c r="AG327" s="1">
        <f t="shared" si="207"/>
        <v>3240000000</v>
      </c>
      <c r="AH327" s="1">
        <f t="shared" si="232"/>
        <v>3240000</v>
      </c>
      <c r="AI327" s="1">
        <f t="shared" si="233"/>
        <v>3243240000</v>
      </c>
      <c r="AJ327" s="1">
        <f t="shared" si="234"/>
        <v>260960137438.24033</v>
      </c>
      <c r="AK327" s="1">
        <f t="shared" si="235"/>
        <v>261221097575.6786</v>
      </c>
      <c r="AL327" s="39">
        <f>+AJ327/('Volcano Summary'!C$8)*10^6</f>
        <v>18116.60379086554</v>
      </c>
      <c r="AM327" s="1">
        <f t="shared" si="208"/>
        <v>7125.738689486239</v>
      </c>
    </row>
    <row r="328" spans="1:39" ht="12.75" hidden="1">
      <c r="A328" s="1">
        <f t="shared" si="226"/>
        <v>992308.6837378246</v>
      </c>
      <c r="B328" s="1">
        <f t="shared" si="227"/>
        <v>7137.0586533518</v>
      </c>
      <c r="C328" s="1">
        <f t="shared" si="237"/>
        <v>6640</v>
      </c>
      <c r="D328" s="12">
        <f t="shared" si="209"/>
        <v>91.94732501297403</v>
      </c>
      <c r="E328" s="38">
        <f t="shared" si="201"/>
        <v>970759359.6979784</v>
      </c>
      <c r="F328" s="38">
        <f t="shared" si="202"/>
        <v>624147821.2064977</v>
      </c>
      <c r="G328" s="38">
        <f t="shared" si="203"/>
        <v>277536282.715017</v>
      </c>
      <c r="H328" s="18">
        <f t="shared" si="210"/>
        <v>0.005437896098983288</v>
      </c>
      <c r="I328" s="50">
        <f t="shared" si="236"/>
        <v>0.03138835742394411</v>
      </c>
      <c r="J328" s="3">
        <f t="shared" si="211"/>
        <v>18.568662638915878</v>
      </c>
      <c r="K328" s="12">
        <f t="shared" si="224"/>
        <v>0.8979612769448224</v>
      </c>
      <c r="L328" s="3">
        <f t="shared" si="212"/>
        <v>1418.8500645198442</v>
      </c>
      <c r="M328" s="12">
        <f t="shared" si="225"/>
        <v>0.7666963071529527</v>
      </c>
      <c r="N328" s="37">
        <f t="shared" si="213"/>
        <v>9392.739051093085</v>
      </c>
      <c r="O328" s="1">
        <f t="shared" si="204"/>
        <v>124390.7082185877</v>
      </c>
      <c r="P328">
        <f t="shared" si="214"/>
        <v>352.6906693103571</v>
      </c>
      <c r="Q328" s="1">
        <f t="shared" si="215"/>
        <v>3312.731422587549</v>
      </c>
      <c r="R328" s="1">
        <f>+Q328*1000/'Material Properties'!AE$35</f>
        <v>2840953.4568822747</v>
      </c>
      <c r="S328" s="1">
        <f t="shared" si="216"/>
        <v>427.854436277451</v>
      </c>
      <c r="T328" s="1">
        <f t="shared" si="217"/>
        <v>144.77764879036113</v>
      </c>
      <c r="U328">
        <f t="shared" si="205"/>
        <v>5.8882746057661263E-05</v>
      </c>
      <c r="V328">
        <f>+'Material Properties'!AE$31+'Material Properties'!AE$33</f>
        <v>0.00029034311030761144</v>
      </c>
      <c r="W328">
        <f t="shared" si="228"/>
        <v>0.0003492258563652727</v>
      </c>
      <c r="X328" s="1">
        <f>+'Volcano Summary'!E$12*10^9/Q328/3600/24/365</f>
        <v>0</v>
      </c>
      <c r="Y328" s="3">
        <f t="shared" si="229"/>
        <v>80</v>
      </c>
      <c r="Z328" s="1">
        <f>+Y328*'Volcano Summary'!B$19*'Volcano Summary'!B$20/1000</f>
        <v>3240000</v>
      </c>
      <c r="AA328" s="1">
        <f t="shared" si="206"/>
        <v>978044.8779844824</v>
      </c>
      <c r="AB328" s="3">
        <f t="shared" si="223"/>
        <v>271.67913277346736</v>
      </c>
      <c r="AC328" s="1">
        <f t="shared" si="230"/>
        <v>616641867.6495953</v>
      </c>
      <c r="AD328" s="36">
        <f t="shared" si="231"/>
        <v>171289.4076804432</v>
      </c>
      <c r="AE328" s="36">
        <f t="shared" si="221"/>
        <v>7137.0586533518</v>
      </c>
      <c r="AG328" s="1">
        <f t="shared" si="207"/>
        <v>3240000000</v>
      </c>
      <c r="AH328" s="1">
        <f t="shared" si="232"/>
        <v>3240000</v>
      </c>
      <c r="AI328" s="1">
        <f t="shared" si="233"/>
        <v>3243240000</v>
      </c>
      <c r="AJ328" s="1">
        <f t="shared" si="234"/>
        <v>264200137438.24033</v>
      </c>
      <c r="AK328" s="1">
        <f t="shared" si="235"/>
        <v>264464337575.6786</v>
      </c>
      <c r="AL328" s="39">
        <f>+AJ328/('Volcano Summary'!C$8)*10^6</f>
        <v>18341.533915667827</v>
      </c>
      <c r="AM328" s="1">
        <f t="shared" si="208"/>
        <v>7137.0586533518</v>
      </c>
    </row>
    <row r="329" spans="1:39" ht="12.75" hidden="1">
      <c r="A329" s="1">
        <f t="shared" si="226"/>
        <v>978044.8779844824</v>
      </c>
      <c r="B329" s="1">
        <f t="shared" si="227"/>
        <v>7148.217805021664</v>
      </c>
      <c r="C329" s="1">
        <f t="shared" si="237"/>
        <v>6720</v>
      </c>
      <c r="D329" s="12">
        <f t="shared" si="209"/>
        <v>92.49956616449772</v>
      </c>
      <c r="E329" s="38">
        <f t="shared" si="201"/>
        <v>976589798.6648147</v>
      </c>
      <c r="F329" s="38">
        <f t="shared" si="202"/>
        <v>627896490.4739879</v>
      </c>
      <c r="G329" s="38">
        <f t="shared" si="203"/>
        <v>279203182.2831612</v>
      </c>
      <c r="H329" s="18">
        <f t="shared" si="210"/>
        <v>0.00540543075748938</v>
      </c>
      <c r="I329" s="50">
        <f t="shared" si="236"/>
        <v>0.03135235285687248</v>
      </c>
      <c r="J329" s="3">
        <f t="shared" si="211"/>
        <v>18.447297245219858</v>
      </c>
      <c r="K329" s="12">
        <f t="shared" si="224"/>
        <v>0.8962621614330781</v>
      </c>
      <c r="L329" s="3">
        <f t="shared" si="212"/>
        <v>1416.1653271983557</v>
      </c>
      <c r="M329" s="12">
        <f t="shared" si="225"/>
        <v>0.7659074320939285</v>
      </c>
      <c r="N329" s="37">
        <f t="shared" si="213"/>
        <v>9505.904581829145</v>
      </c>
      <c r="O329" s="1">
        <f t="shared" si="204"/>
        <v>124972.15923453066</v>
      </c>
      <c r="P329">
        <f t="shared" si="214"/>
        <v>353.5140156125789</v>
      </c>
      <c r="Q329" s="1">
        <f t="shared" si="215"/>
        <v>3360.4705007524335</v>
      </c>
      <c r="R329" s="1">
        <f>+Q329*1000/'Material Properties'!AE$35</f>
        <v>2881893.841670537</v>
      </c>
      <c r="S329" s="1">
        <f t="shared" si="216"/>
        <v>428.8532502485918</v>
      </c>
      <c r="T329" s="1">
        <f t="shared" si="217"/>
        <v>146.90993009697513</v>
      </c>
      <c r="U329">
        <f t="shared" si="205"/>
        <v>5.8033313420635614E-05</v>
      </c>
      <c r="V329">
        <f>+'Material Properties'!AE$31+'Material Properties'!AE$33</f>
        <v>0.00029034311030761144</v>
      </c>
      <c r="W329">
        <f t="shared" si="228"/>
        <v>0.00034837642372824706</v>
      </c>
      <c r="X329" s="1">
        <f>+'Volcano Summary'!E$12*10^9/Q329/3600/24/365</f>
        <v>0</v>
      </c>
      <c r="Y329" s="3">
        <f t="shared" si="229"/>
        <v>80</v>
      </c>
      <c r="Z329" s="1">
        <f>+Y329*'Volcano Summary'!B$19*'Volcano Summary'!B$20/1000</f>
        <v>3240000</v>
      </c>
      <c r="AA329" s="1">
        <f t="shared" si="206"/>
        <v>964150.7042762437</v>
      </c>
      <c r="AB329" s="3">
        <f t="shared" si="223"/>
        <v>267.81964007673434</v>
      </c>
      <c r="AC329" s="1">
        <f t="shared" si="230"/>
        <v>617606018.3538715</v>
      </c>
      <c r="AD329" s="36">
        <f t="shared" si="231"/>
        <v>171557.22732051995</v>
      </c>
      <c r="AE329" s="36">
        <f t="shared" si="221"/>
        <v>7148.217805021664</v>
      </c>
      <c r="AG329" s="1">
        <f t="shared" si="207"/>
        <v>3240000000</v>
      </c>
      <c r="AH329" s="1">
        <f t="shared" si="232"/>
        <v>3240000</v>
      </c>
      <c r="AI329" s="1">
        <f t="shared" si="233"/>
        <v>3243240000</v>
      </c>
      <c r="AJ329" s="1">
        <f t="shared" si="234"/>
        <v>267440137438.24033</v>
      </c>
      <c r="AK329" s="1">
        <f t="shared" si="235"/>
        <v>267707577575.6786</v>
      </c>
      <c r="AL329" s="39">
        <f>+AJ329/('Volcano Summary'!C$8)*10^6</f>
        <v>18566.46404047011</v>
      </c>
      <c r="AM329" s="1">
        <f t="shared" si="208"/>
        <v>7148.217805021664</v>
      </c>
    </row>
    <row r="330" spans="1:39" ht="12.75" hidden="1">
      <c r="A330" s="1">
        <f t="shared" si="226"/>
        <v>964150.7042762437</v>
      </c>
      <c r="B330" s="1">
        <f t="shared" si="227"/>
        <v>7159.220263534327</v>
      </c>
      <c r="C330" s="1">
        <f t="shared" si="237"/>
        <v>6800</v>
      </c>
      <c r="D330" s="12">
        <f t="shared" si="209"/>
        <v>93.04852983362557</v>
      </c>
      <c r="E330" s="38">
        <f t="shared" si="201"/>
        <v>982385634.703164</v>
      </c>
      <c r="F330" s="38">
        <f t="shared" si="202"/>
        <v>631622911.8566581</v>
      </c>
      <c r="G330" s="38">
        <f t="shared" si="203"/>
        <v>280860189.0101524</v>
      </c>
      <c r="H330" s="18">
        <f t="shared" si="210"/>
        <v>0.005373540032217808</v>
      </c>
      <c r="I330" s="50">
        <f t="shared" si="236"/>
        <v>0.0313168554363238</v>
      </c>
      <c r="J330" s="3">
        <f t="shared" si="211"/>
        <v>18.328237637026383</v>
      </c>
      <c r="K330" s="12">
        <f t="shared" si="224"/>
        <v>0.8945953269183695</v>
      </c>
      <c r="L330" s="3">
        <f t="shared" si="212"/>
        <v>1413.5315964134552</v>
      </c>
      <c r="M330" s="12">
        <f t="shared" si="225"/>
        <v>0.765133544640671</v>
      </c>
      <c r="N330" s="37">
        <f t="shared" si="213"/>
        <v>9619.070112565207</v>
      </c>
      <c r="O330" s="1">
        <f t="shared" si="204"/>
        <v>125550.04584552719</v>
      </c>
      <c r="P330">
        <f t="shared" si="214"/>
        <v>354.3304190237231</v>
      </c>
      <c r="Q330" s="1">
        <f t="shared" si="215"/>
        <v>3408.3291436038007</v>
      </c>
      <c r="R330" s="1">
        <f>+Q330*1000/'Material Properties'!AE$35</f>
        <v>2922936.763509364</v>
      </c>
      <c r="S330" s="1">
        <f t="shared" si="216"/>
        <v>429.8436416925535</v>
      </c>
      <c r="T330" s="1">
        <f t="shared" si="217"/>
        <v>148.99283581051554</v>
      </c>
      <c r="U330">
        <f t="shared" si="205"/>
        <v>5.722688448461676E-05</v>
      </c>
      <c r="V330">
        <f>+'Material Properties'!AE$31+'Material Properties'!AE$33</f>
        <v>0.00029034311030761144</v>
      </c>
      <c r="W330">
        <f t="shared" si="228"/>
        <v>0.0003475699947922282</v>
      </c>
      <c r="X330" s="1">
        <f>+'Volcano Summary'!E$12*10^9/Q330/3600/24/365</f>
        <v>0</v>
      </c>
      <c r="Y330" s="3">
        <f t="shared" si="229"/>
        <v>80</v>
      </c>
      <c r="Z330" s="1">
        <f>+Y330*'Volcano Summary'!B$19*'Volcano Summary'!B$20/1000</f>
        <v>3240000</v>
      </c>
      <c r="AA330" s="1">
        <f t="shared" si="206"/>
        <v>950612.415494057</v>
      </c>
      <c r="AB330" s="3">
        <f t="shared" si="223"/>
        <v>264.0590043039047</v>
      </c>
      <c r="AC330" s="1">
        <f t="shared" si="230"/>
        <v>618556630.7693655</v>
      </c>
      <c r="AD330" s="36">
        <f t="shared" si="231"/>
        <v>171821.28632482386</v>
      </c>
      <c r="AE330" s="36">
        <f t="shared" si="221"/>
        <v>7159.220263534327</v>
      </c>
      <c r="AG330" s="1">
        <f t="shared" si="207"/>
        <v>3239999999.9999995</v>
      </c>
      <c r="AH330" s="1">
        <f t="shared" si="232"/>
        <v>3240000</v>
      </c>
      <c r="AI330" s="1">
        <f t="shared" si="233"/>
        <v>3243239999.9999995</v>
      </c>
      <c r="AJ330" s="1">
        <f t="shared" si="234"/>
        <v>270680137438.24033</v>
      </c>
      <c r="AK330" s="1">
        <f t="shared" si="235"/>
        <v>270950817575.6786</v>
      </c>
      <c r="AL330" s="39">
        <f>+AJ330/('Volcano Summary'!C$8)*10^6</f>
        <v>18791.39416527239</v>
      </c>
      <c r="AM330" s="1">
        <f t="shared" si="208"/>
        <v>7159.220263534327</v>
      </c>
    </row>
    <row r="331" spans="1:39" ht="12.75" hidden="1">
      <c r="A331" s="1">
        <f t="shared" si="226"/>
        <v>950612.415494057</v>
      </c>
      <c r="B331" s="1">
        <f t="shared" si="227"/>
        <v>7170.069996493113</v>
      </c>
      <c r="C331" s="1">
        <f t="shared" si="237"/>
        <v>6880</v>
      </c>
      <c r="D331" s="12">
        <f t="shared" si="209"/>
        <v>93.59427369117151</v>
      </c>
      <c r="E331" s="38">
        <f t="shared" si="201"/>
        <v>988147476.6886228</v>
      </c>
      <c r="F331" s="38">
        <f t="shared" si="202"/>
        <v>635327476.829876</v>
      </c>
      <c r="G331" s="38">
        <f t="shared" si="203"/>
        <v>282507476.97112876</v>
      </c>
      <c r="H331" s="18">
        <f t="shared" si="210"/>
        <v>0.005342207170171818</v>
      </c>
      <c r="I331" s="50">
        <f t="shared" si="236"/>
        <v>0.03128185208781407</v>
      </c>
      <c r="J331" s="3">
        <f t="shared" si="211"/>
        <v>18.211413451977457</v>
      </c>
      <c r="K331" s="12">
        <f t="shared" si="224"/>
        <v>0.8929597883276845</v>
      </c>
      <c r="L331" s="3">
        <f t="shared" si="212"/>
        <v>1410.9473156716247</v>
      </c>
      <c r="M331" s="12">
        <f t="shared" si="225"/>
        <v>0.7643741874378529</v>
      </c>
      <c r="N331" s="37">
        <f t="shared" si="213"/>
        <v>9732.235643301266</v>
      </c>
      <c r="O331" s="1">
        <f t="shared" si="204"/>
        <v>126124.42680534453</v>
      </c>
      <c r="P331">
        <f t="shared" si="214"/>
        <v>355.14001014437184</v>
      </c>
      <c r="Q331" s="1">
        <f t="shared" si="215"/>
        <v>3456.306265089429</v>
      </c>
      <c r="R331" s="1">
        <f>+Q331*1000/'Material Properties'!AE$35</f>
        <v>2964081.291015126</v>
      </c>
      <c r="S331" s="1">
        <f t="shared" si="216"/>
        <v>430.8257690428962</v>
      </c>
      <c r="T331" s="1">
        <f t="shared" si="217"/>
        <v>151.02809932797595</v>
      </c>
      <c r="U331">
        <f t="shared" si="205"/>
        <v>5.646026007001109E-05</v>
      </c>
      <c r="V331">
        <f>+'Material Properties'!AE$31+'Material Properties'!AE$33</f>
        <v>0.00029034311030761144</v>
      </c>
      <c r="W331">
        <f t="shared" si="228"/>
        <v>0.0003468033703776225</v>
      </c>
      <c r="X331" s="1">
        <f>+'Volcano Summary'!E$12*10^9/Q331/3600/24/365</f>
        <v>0</v>
      </c>
      <c r="Y331" s="3">
        <f t="shared" si="229"/>
        <v>80</v>
      </c>
      <c r="Z331" s="1">
        <f>+Y331*'Volcano Summary'!B$19*'Volcano Summary'!B$20/1000</f>
        <v>3240000</v>
      </c>
      <c r="AA331" s="1">
        <f t="shared" si="206"/>
        <v>937416.9276391274</v>
      </c>
      <c r="AB331" s="3">
        <f t="shared" si="223"/>
        <v>260.3935910108687</v>
      </c>
      <c r="AC331" s="1">
        <f t="shared" si="230"/>
        <v>619494047.6970047</v>
      </c>
      <c r="AD331" s="36">
        <f t="shared" si="231"/>
        <v>172081.6799158347</v>
      </c>
      <c r="AE331" s="36">
        <f t="shared" si="221"/>
        <v>7170.069996493113</v>
      </c>
      <c r="AG331" s="1">
        <f t="shared" si="207"/>
        <v>3240000000</v>
      </c>
      <c r="AH331" s="1">
        <f t="shared" si="232"/>
        <v>3240000</v>
      </c>
      <c r="AI331" s="1">
        <f t="shared" si="233"/>
        <v>3243240000</v>
      </c>
      <c r="AJ331" s="1">
        <f t="shared" si="234"/>
        <v>273920137438.24033</v>
      </c>
      <c r="AK331" s="1">
        <f t="shared" si="235"/>
        <v>274194057575.6786</v>
      </c>
      <c r="AL331" s="39">
        <f>+AJ331/('Volcano Summary'!C$8)*10^6</f>
        <v>19016.324290074677</v>
      </c>
      <c r="AM331" s="1">
        <f t="shared" si="208"/>
        <v>7170.069996493113</v>
      </c>
    </row>
    <row r="332" spans="1:39" ht="12.75" hidden="1">
      <c r="A332" s="1">
        <f t="shared" si="226"/>
        <v>937416.9276391274</v>
      </c>
      <c r="B332" s="1">
        <f t="shared" si="227"/>
        <v>7180.770827287945</v>
      </c>
      <c r="C332" s="1">
        <f t="shared" si="237"/>
        <v>6960</v>
      </c>
      <c r="D332" s="12">
        <f t="shared" si="209"/>
        <v>94.13685373623197</v>
      </c>
      <c r="E332" s="38">
        <f t="shared" si="201"/>
        <v>993875915.8471683</v>
      </c>
      <c r="F332" s="38">
        <f t="shared" si="202"/>
        <v>639010565.5212198</v>
      </c>
      <c r="G332" s="38">
        <f t="shared" si="203"/>
        <v>284145215.1952716</v>
      </c>
      <c r="H332" s="18">
        <f t="shared" si="210"/>
        <v>0.00531141609428526</v>
      </c>
      <c r="I332" s="50">
        <f t="shared" si="236"/>
        <v>0.031247330222404387</v>
      </c>
      <c r="J332" s="3">
        <f t="shared" si="211"/>
        <v>18.096757264672487</v>
      </c>
      <c r="K332" s="12">
        <f t="shared" si="224"/>
        <v>0.8913546017054149</v>
      </c>
      <c r="L332" s="3">
        <f t="shared" si="212"/>
        <v>1408.4109934481069</v>
      </c>
      <c r="M332" s="12">
        <f t="shared" si="225"/>
        <v>0.7636289222203706</v>
      </c>
      <c r="N332" s="37">
        <f t="shared" si="213"/>
        <v>9845.401174037328</v>
      </c>
      <c r="O332" s="1">
        <f t="shared" si="204"/>
        <v>126695.35924112826</v>
      </c>
      <c r="P332">
        <f t="shared" si="214"/>
        <v>355.94291570577474</v>
      </c>
      <c r="Q332" s="1">
        <f t="shared" si="215"/>
        <v>3504.4008001799043</v>
      </c>
      <c r="R332" s="1">
        <f>+Q332*1000/'Material Properties'!AE$35</f>
        <v>3005326.510833069</v>
      </c>
      <c r="S332" s="1">
        <f t="shared" si="216"/>
        <v>431.7997860392341</v>
      </c>
      <c r="T332" s="1">
        <f t="shared" si="217"/>
        <v>153.01737334564177</v>
      </c>
      <c r="U332">
        <f t="shared" si="205"/>
        <v>5.573055083741062E-05</v>
      </c>
      <c r="V332">
        <f>+'Material Properties'!AE$31+'Material Properties'!AE$33</f>
        <v>0.00029034311030761144</v>
      </c>
      <c r="W332">
        <f t="shared" si="228"/>
        <v>0.00034607366114502205</v>
      </c>
      <c r="X332" s="1">
        <f>+'Volcano Summary'!E$12*10^9/Q332/3600/24/365</f>
        <v>0</v>
      </c>
      <c r="Y332" s="3">
        <f t="shared" si="229"/>
        <v>80</v>
      </c>
      <c r="Z332" s="1">
        <f>+Y332*'Volcano Summary'!B$19*'Volcano Summary'!B$20/1000</f>
        <v>3240000</v>
      </c>
      <c r="AA332" s="1">
        <f t="shared" si="206"/>
        <v>924551.7806735089</v>
      </c>
      <c r="AB332" s="3">
        <f t="shared" si="223"/>
        <v>256.8199390759747</v>
      </c>
      <c r="AC332" s="1">
        <f t="shared" si="230"/>
        <v>620418599.4776782</v>
      </c>
      <c r="AD332" s="36">
        <f t="shared" si="231"/>
        <v>172338.49985491068</v>
      </c>
      <c r="AE332" s="36">
        <f t="shared" si="221"/>
        <v>7180.770827287945</v>
      </c>
      <c r="AG332" s="1">
        <f t="shared" si="207"/>
        <v>3240000000</v>
      </c>
      <c r="AH332" s="1">
        <f t="shared" si="232"/>
        <v>3240000</v>
      </c>
      <c r="AI332" s="1">
        <f t="shared" si="233"/>
        <v>3243240000</v>
      </c>
      <c r="AJ332" s="1">
        <f t="shared" si="234"/>
        <v>277160137438.24036</v>
      </c>
      <c r="AK332" s="1">
        <f t="shared" si="235"/>
        <v>277437297575.6786</v>
      </c>
      <c r="AL332" s="39">
        <f>+AJ332/('Volcano Summary'!C$8)*10^6</f>
        <v>19241.254414876963</v>
      </c>
      <c r="AM332" s="1">
        <f t="shared" si="208"/>
        <v>7180.770827287945</v>
      </c>
    </row>
    <row r="333" spans="1:39" ht="12.75" hidden="1">
      <c r="A333" s="1">
        <f t="shared" si="226"/>
        <v>924551.7806735089</v>
      </c>
      <c r="B333" s="1">
        <f t="shared" si="227"/>
        <v>7191.326441895443</v>
      </c>
      <c r="C333" s="1">
        <f t="shared" si="237"/>
        <v>7040</v>
      </c>
      <c r="D333" s="12">
        <f t="shared" si="209"/>
        <v>94.67632436325115</v>
      </c>
      <c r="E333" s="38">
        <f t="shared" si="201"/>
        <v>999571526.463215</v>
      </c>
      <c r="F333" s="38">
        <f t="shared" si="202"/>
        <v>642672547.1657258</v>
      </c>
      <c r="G333" s="38">
        <f t="shared" si="203"/>
        <v>285773567.8682365</v>
      </c>
      <c r="H333" s="18">
        <f t="shared" si="210"/>
        <v>0.00528115136875842</v>
      </c>
      <c r="I333" s="50">
        <f t="shared" si="236"/>
        <v>0.03121327771329485</v>
      </c>
      <c r="J333" s="3">
        <f t="shared" si="211"/>
        <v>17.98420443190038</v>
      </c>
      <c r="K333" s="12">
        <f t="shared" si="224"/>
        <v>0.8897788620466054</v>
      </c>
      <c r="L333" s="3">
        <f t="shared" si="212"/>
        <v>1405.9211997632665</v>
      </c>
      <c r="M333" s="12">
        <f t="shared" si="225"/>
        <v>0.762897328807352</v>
      </c>
      <c r="N333" s="37">
        <f t="shared" si="213"/>
        <v>9958.566704773391</v>
      </c>
      <c r="O333" s="1">
        <f t="shared" si="204"/>
        <v>127262.89871648038</v>
      </c>
      <c r="P333">
        <f t="shared" si="214"/>
        <v>356.7392587261464</v>
      </c>
      <c r="Q333" s="1">
        <f t="shared" si="215"/>
        <v>3552.611704235742</v>
      </c>
      <c r="R333" s="1">
        <f>+Q333*1000/'Material Properties'!AE$35</f>
        <v>3046671.5270945653</v>
      </c>
      <c r="S333" s="1">
        <f t="shared" si="216"/>
        <v>432.7658419168417</v>
      </c>
      <c r="T333" s="1">
        <f t="shared" si="217"/>
        <v>154.9622345107091</v>
      </c>
      <c r="U333">
        <f t="shared" si="205"/>
        <v>5.503514066077772E-05</v>
      </c>
      <c r="V333">
        <f>+'Material Properties'!AE$31+'Material Properties'!AE$33</f>
        <v>0.00029034311030761144</v>
      </c>
      <c r="W333">
        <f t="shared" si="228"/>
        <v>0.00034537825096838916</v>
      </c>
      <c r="X333" s="1">
        <f>+'Volcano Summary'!E$12*10^9/Q333/3600/24/365</f>
        <v>0</v>
      </c>
      <c r="Y333" s="3">
        <f t="shared" si="229"/>
        <v>80</v>
      </c>
      <c r="Z333" s="1">
        <f>+Y333*'Volcano Summary'!B$19*'Volcano Summary'!B$20/1000</f>
        <v>3240000</v>
      </c>
      <c r="AA333" s="1">
        <f t="shared" si="206"/>
        <v>912005.1020878475</v>
      </c>
      <c r="AB333" s="3">
        <f t="shared" si="223"/>
        <v>253.33475057995764</v>
      </c>
      <c r="AC333" s="1">
        <f t="shared" si="230"/>
        <v>621330604.579766</v>
      </c>
      <c r="AD333" s="36">
        <f t="shared" si="231"/>
        <v>172591.83460549064</v>
      </c>
      <c r="AE333" s="36">
        <f t="shared" si="221"/>
        <v>7191.326441895443</v>
      </c>
      <c r="AG333" s="1">
        <f t="shared" si="207"/>
        <v>3240000000</v>
      </c>
      <c r="AH333" s="1">
        <f t="shared" si="232"/>
        <v>3240000</v>
      </c>
      <c r="AI333" s="1">
        <f t="shared" si="233"/>
        <v>3243240000</v>
      </c>
      <c r="AJ333" s="1">
        <f t="shared" si="234"/>
        <v>280400137438.24036</v>
      </c>
      <c r="AK333" s="1">
        <f t="shared" si="235"/>
        <v>280680537575.6786</v>
      </c>
      <c r="AL333" s="39">
        <f>+AJ333/('Volcano Summary'!C$8)*10^6</f>
        <v>19466.18453967924</v>
      </c>
      <c r="AM333" s="1">
        <f t="shared" si="208"/>
        <v>7191.326441895443</v>
      </c>
    </row>
    <row r="334" spans="1:39" ht="12.75" hidden="1">
      <c r="A334" s="1">
        <f t="shared" si="226"/>
        <v>912005.1020878475</v>
      </c>
      <c r="B334" s="1">
        <f t="shared" si="227"/>
        <v>7201.740395286393</v>
      </c>
      <c r="C334" s="1">
        <f t="shared" si="237"/>
        <v>7120</v>
      </c>
      <c r="D334" s="12">
        <f t="shared" si="209"/>
        <v>95.21273842566634</v>
      </c>
      <c r="E334" s="38">
        <f aca="true" t="shared" si="238" ref="E334:E398">+$D334*1000*A$7*$F$11/$F$10</f>
        <v>1005234866.5515721</v>
      </c>
      <c r="F334" s="38">
        <f aca="true" t="shared" si="239" ref="F334:F398">+$D334*1000*C$7*$F$11/$F$10</f>
        <v>646313780.5379171</v>
      </c>
      <c r="G334" s="38">
        <f aca="true" t="shared" si="240" ref="G334:G398">+$D334*1000*D$7*$F$11/$F$10</f>
        <v>287392694.52426225</v>
      </c>
      <c r="H334" s="18">
        <f t="shared" si="210"/>
        <v>0.005251398166542133</v>
      </c>
      <c r="I334" s="50">
        <f t="shared" si="236"/>
        <v>0.03117968287379971</v>
      </c>
      <c r="J334" s="3">
        <f t="shared" si="211"/>
        <v>17.873692947683697</v>
      </c>
      <c r="K334" s="12">
        <f t="shared" si="224"/>
        <v>0.8882317012675719</v>
      </c>
      <c r="L334" s="3">
        <f t="shared" si="212"/>
        <v>1403.4765629760066</v>
      </c>
      <c r="M334" s="12">
        <f t="shared" si="225"/>
        <v>0.7621790041599434</v>
      </c>
      <c r="N334" s="37">
        <f t="shared" si="213"/>
        <v>10071.732235509457</v>
      </c>
      <c r="O334" s="1">
        <f aca="true" t="shared" si="241" ref="O334:O398">+L334/J334/P$9</f>
        <v>127827.09929140561</v>
      </c>
      <c r="P334">
        <f t="shared" si="214"/>
        <v>357.5291586589905</v>
      </c>
      <c r="Q334" s="1">
        <f t="shared" si="215"/>
        <v>3600.93795240033</v>
      </c>
      <c r="R334" s="1">
        <f>+Q334*1000/'Material Properties'!AE$35</f>
        <v>3088115.4608965092</v>
      </c>
      <c r="S334" s="1">
        <f t="shared" si="216"/>
        <v>433.7240815865884</v>
      </c>
      <c r="T334" s="1">
        <f t="shared" si="217"/>
        <v>156.86418775466382</v>
      </c>
      <c r="U334">
        <f aca="true" t="shared" si="242" ref="U334:U398">+I$3*0.1*0.9/(T334+0.9)</f>
        <v>5.4371655076368365E-05</v>
      </c>
      <c r="V334">
        <f>+'Material Properties'!AE$31+'Material Properties'!AE$33</f>
        <v>0.00029034311030761144</v>
      </c>
      <c r="W334">
        <f t="shared" si="228"/>
        <v>0.0003447147653839798</v>
      </c>
      <c r="X334" s="1">
        <f>+'Volcano Summary'!E$12*10^9/Q334/3600/24/365</f>
        <v>0</v>
      </c>
      <c r="Y334" s="3">
        <f t="shared" si="229"/>
        <v>80</v>
      </c>
      <c r="Z334" s="1">
        <f>+Y334*'Volcano Summary'!B$19*'Volcano Summary'!B$20/1000</f>
        <v>3240000</v>
      </c>
      <c r="AA334" s="1">
        <f aca="true" t="shared" si="243" ref="AA334:AA398">Z334/(AA$12/100*Q334)</f>
        <v>899765.5729780808</v>
      </c>
      <c r="AB334" s="3">
        <f t="shared" si="223"/>
        <v>249.93488138280023</v>
      </c>
      <c r="AC334" s="1">
        <f t="shared" si="230"/>
        <v>622230370.1527442</v>
      </c>
      <c r="AD334" s="36">
        <f t="shared" si="231"/>
        <v>172841.76948687344</v>
      </c>
      <c r="AE334" s="36">
        <f t="shared" si="221"/>
        <v>7201.740395286393</v>
      </c>
      <c r="AG334" s="1">
        <f aca="true" t="shared" si="244" ref="AG334:AG398">+AA334*Q334</f>
        <v>3240000000</v>
      </c>
      <c r="AH334" s="1">
        <f t="shared" si="232"/>
        <v>3240000</v>
      </c>
      <c r="AI334" s="1">
        <f t="shared" si="233"/>
        <v>3243240000</v>
      </c>
      <c r="AJ334" s="1">
        <f t="shared" si="234"/>
        <v>283640137438.24036</v>
      </c>
      <c r="AK334" s="1">
        <f t="shared" si="235"/>
        <v>283923777575.6786</v>
      </c>
      <c r="AL334" s="39">
        <f>+AJ334/('Volcano Summary'!C$8)*10^6</f>
        <v>19691.114664481527</v>
      </c>
      <c r="AM334" s="1">
        <f aca="true" t="shared" si="245" ref="AM334:AM398">+B334</f>
        <v>7201.740395286393</v>
      </c>
    </row>
    <row r="335" spans="1:39" ht="12.75" hidden="1">
      <c r="A335" s="1">
        <f t="shared" si="226"/>
        <v>899765.5729780808</v>
      </c>
      <c r="B335" s="1">
        <f t="shared" si="227"/>
        <v>7212.016117467326</v>
      </c>
      <c r="C335" s="1">
        <f t="shared" si="237"/>
        <v>7200</v>
      </c>
      <c r="D335" s="12">
        <f aca="true" t="shared" si="246" ref="D335:D399">2*SQRT(C335/PI())</f>
        <v>95.74614729634385</v>
      </c>
      <c r="E335" s="38">
        <f t="shared" si="238"/>
        <v>1010866478.4955089</v>
      </c>
      <c r="F335" s="38">
        <f t="shared" si="239"/>
        <v>649934614.3620507</v>
      </c>
      <c r="G335" s="38">
        <f t="shared" si="240"/>
        <v>289002750.22859246</v>
      </c>
      <c r="H335" s="18">
        <f aca="true" t="shared" si="247" ref="H335:H399">+(H$13/1000)/D335</f>
        <v>0.005222142238814584</v>
      </c>
      <c r="I335" s="50">
        <f t="shared" si="236"/>
        <v>0.031146534436607563</v>
      </c>
      <c r="J335" s="3">
        <f aca="true" t="shared" si="248" ref="J335:J399">+J$13*I335/D335+1.5</f>
        <v>17.765163307410134</v>
      </c>
      <c r="K335" s="12">
        <f t="shared" si="224"/>
        <v>0.886712286303742</v>
      </c>
      <c r="L335" s="3">
        <f aca="true" t="shared" si="249" ref="L335:L399">+L$10*K335</f>
        <v>1401.0757667782045</v>
      </c>
      <c r="M335" s="12">
        <f t="shared" si="225"/>
        <v>0.7614735614981654</v>
      </c>
      <c r="N335" s="37">
        <f aca="true" t="shared" si="250" ref="N335:N399">1.111*10^-6*(D335*1000)^2</f>
        <v>10184.897766245515</v>
      </c>
      <c r="O335" s="1">
        <f t="shared" si="241"/>
        <v>128388.01357931441</v>
      </c>
      <c r="P335">
        <f aca="true" t="shared" si="251" ref="P335:P399">+SQRT(O335)</f>
        <v>358.3127315339415</v>
      </c>
      <c r="Q335" s="1">
        <f aca="true" t="shared" si="252" ref="Q335:Q399">+P335*N335/1000</f>
        <v>3649.378539017369</v>
      </c>
      <c r="R335" s="1">
        <f>+Q335*1000/'Material Properties'!AE$35</f>
        <v>3129657.449801722</v>
      </c>
      <c r="S335" s="1">
        <f aca="true" t="shared" si="253" ref="S335:S399">+R335/C335</f>
        <v>434.67464580579474</v>
      </c>
      <c r="T335" s="1">
        <f aca="true" t="shared" si="254" ref="T335:T399">+L335-L335*K335</f>
        <v>158.7246703335345</v>
      </c>
      <c r="U335">
        <f t="shared" si="242"/>
        <v>5.3737934005292186E-05</v>
      </c>
      <c r="V335">
        <f>+'Material Properties'!AE$31+'Material Properties'!AE$33</f>
        <v>0.00029034311030761144</v>
      </c>
      <c r="W335">
        <f t="shared" si="228"/>
        <v>0.00034408104431290365</v>
      </c>
      <c r="X335" s="1">
        <f>+'Volcano Summary'!E$12*10^9/Q335/3600/24/365</f>
        <v>0</v>
      </c>
      <c r="Y335" s="3">
        <f t="shared" si="229"/>
        <v>80</v>
      </c>
      <c r="Z335" s="1">
        <f>+Y335*'Volcano Summary'!B$19*'Volcano Summary'!B$20/1000</f>
        <v>3240000</v>
      </c>
      <c r="AA335" s="1">
        <f t="shared" si="243"/>
        <v>887822.3964325723</v>
      </c>
      <c r="AB335" s="3">
        <f t="shared" si="223"/>
        <v>246.6173323423812</v>
      </c>
      <c r="AC335" s="1">
        <f t="shared" si="230"/>
        <v>623118192.5491767</v>
      </c>
      <c r="AD335" s="36">
        <f t="shared" si="231"/>
        <v>173088.3868192158</v>
      </c>
      <c r="AE335" s="36">
        <f t="shared" si="221"/>
        <v>7212.016117467326</v>
      </c>
      <c r="AG335" s="1">
        <f t="shared" si="244"/>
        <v>3240000000</v>
      </c>
      <c r="AH335" s="1">
        <f t="shared" si="232"/>
        <v>3240000</v>
      </c>
      <c r="AI335" s="1">
        <f t="shared" si="233"/>
        <v>3243240000</v>
      </c>
      <c r="AJ335" s="1">
        <f t="shared" si="234"/>
        <v>286880137438.24036</v>
      </c>
      <c r="AK335" s="1">
        <f t="shared" si="235"/>
        <v>287167017575.6786</v>
      </c>
      <c r="AL335" s="39">
        <f>+AJ335/('Volcano Summary'!C$8)*10^6</f>
        <v>19916.04478928381</v>
      </c>
      <c r="AM335" s="1">
        <f t="shared" si="245"/>
        <v>7212.016117467326</v>
      </c>
    </row>
    <row r="336" spans="1:39" ht="12.75" hidden="1">
      <c r="A336" s="1">
        <f t="shared" si="226"/>
        <v>887822.3964325723</v>
      </c>
      <c r="B336" s="1">
        <f t="shared" si="227"/>
        <v>7222.156919180853</v>
      </c>
      <c r="C336" s="1">
        <f t="shared" si="237"/>
        <v>7280</v>
      </c>
      <c r="D336" s="12">
        <f t="shared" si="246"/>
        <v>96.27660092500142</v>
      </c>
      <c r="E336" s="38">
        <f t="shared" si="238"/>
        <v>1016466889.6530107</v>
      </c>
      <c r="F336" s="38">
        <f t="shared" si="239"/>
        <v>653535387.7019056</v>
      </c>
      <c r="G336" s="38">
        <f t="shared" si="240"/>
        <v>290603885.7508009</v>
      </c>
      <c r="H336" s="18">
        <f t="shared" si="247"/>
        <v>0.005193369886308048</v>
      </c>
      <c r="I336" s="50">
        <f t="shared" si="236"/>
        <v>0.031113821534238216</v>
      </c>
      <c r="J336" s="3">
        <f t="shared" si="248"/>
        <v>17.658558380387564</v>
      </c>
      <c r="K336" s="12">
        <f t="shared" si="224"/>
        <v>0.885219817325426</v>
      </c>
      <c r="L336" s="3">
        <f t="shared" si="249"/>
        <v>1398.71754737549</v>
      </c>
      <c r="M336" s="12">
        <f t="shared" si="225"/>
        <v>0.7607806294725187</v>
      </c>
      <c r="N336" s="37">
        <f t="shared" si="250"/>
        <v>10298.063296981574</v>
      </c>
      <c r="O336" s="1">
        <f t="shared" si="241"/>
        <v>128945.6928012592</v>
      </c>
      <c r="P336">
        <f t="shared" si="251"/>
        <v>359.0900900905777</v>
      </c>
      <c r="Q336" s="1">
        <f t="shared" si="252"/>
        <v>3697.9324770715853</v>
      </c>
      <c r="R336" s="1">
        <f>+Q336*1000/'Material Properties'!AE$35</f>
        <v>3171296.6473593162</v>
      </c>
      <c r="S336" s="1">
        <f t="shared" si="253"/>
        <v>435.61767134056544</v>
      </c>
      <c r="T336" s="1">
        <f t="shared" si="254"/>
        <v>160.54505559789095</v>
      </c>
      <c r="U336">
        <f t="shared" si="242"/>
        <v>5.313200808927132E-05</v>
      </c>
      <c r="V336">
        <f>+'Material Properties'!AE$31+'Material Properties'!AE$33</f>
        <v>0.00029034311030761144</v>
      </c>
      <c r="W336">
        <f t="shared" si="228"/>
        <v>0.0003434751183968828</v>
      </c>
      <c r="X336" s="1">
        <f>+'Volcano Summary'!E$12*10^9/Q336/3600/24/365</f>
        <v>0</v>
      </c>
      <c r="Y336" s="3">
        <f t="shared" si="229"/>
        <v>80</v>
      </c>
      <c r="Z336" s="1">
        <f>+Y336*'Volcano Summary'!B$19*'Volcano Summary'!B$20/1000</f>
        <v>3240000</v>
      </c>
      <c r="AA336" s="1">
        <f t="shared" si="243"/>
        <v>876165.2680488572</v>
      </c>
      <c r="AB336" s="3">
        <f t="shared" si="223"/>
        <v>243.37924112468255</v>
      </c>
      <c r="AC336" s="1">
        <f t="shared" si="230"/>
        <v>623994357.8172256</v>
      </c>
      <c r="AD336" s="36">
        <f t="shared" si="231"/>
        <v>173331.76606034048</v>
      </c>
      <c r="AE336" s="36">
        <f t="shared" si="221"/>
        <v>7222.156919180853</v>
      </c>
      <c r="AG336" s="1">
        <f t="shared" si="244"/>
        <v>3240000000</v>
      </c>
      <c r="AH336" s="1">
        <f t="shared" si="232"/>
        <v>3240000</v>
      </c>
      <c r="AI336" s="1">
        <f t="shared" si="233"/>
        <v>3243240000</v>
      </c>
      <c r="AJ336" s="1">
        <f t="shared" si="234"/>
        <v>290120137438.24036</v>
      </c>
      <c r="AK336" s="1">
        <f t="shared" si="235"/>
        <v>290410257575.6786</v>
      </c>
      <c r="AL336" s="39">
        <f>+AJ336/('Volcano Summary'!C$8)*10^6</f>
        <v>20140.974914086095</v>
      </c>
      <c r="AM336" s="1">
        <f t="shared" si="245"/>
        <v>7222.156919180853</v>
      </c>
    </row>
    <row r="337" spans="1:39" ht="12.75" hidden="1">
      <c r="A337" s="1">
        <f t="shared" si="226"/>
        <v>876165.2680488572</v>
      </c>
      <c r="B337" s="1">
        <f t="shared" si="227"/>
        <v>7232.1659972875095</v>
      </c>
      <c r="C337" s="1">
        <f t="shared" si="237"/>
        <v>7360</v>
      </c>
      <c r="D337" s="12">
        <f t="shared" si="246"/>
        <v>96.80414789279847</v>
      </c>
      <c r="E337" s="38">
        <f t="shared" si="238"/>
        <v>1022036612.9331279</v>
      </c>
      <c r="F337" s="38">
        <f t="shared" si="239"/>
        <v>657116430.3313478</v>
      </c>
      <c r="G337" s="38">
        <f t="shared" si="240"/>
        <v>292196247.7295677</v>
      </c>
      <c r="H337" s="18">
        <f t="shared" si="247"/>
        <v>0.005165067932354543</v>
      </c>
      <c r="I337" s="50">
        <f t="shared" si="236"/>
        <v>0.031081533680614934</v>
      </c>
      <c r="J337" s="3">
        <f t="shared" si="248"/>
        <v>17.553823290214186</v>
      </c>
      <c r="K337" s="12">
        <f t="shared" si="224"/>
        <v>0.8837535260629987</v>
      </c>
      <c r="L337" s="3">
        <f t="shared" si="249"/>
        <v>1396.4006908408985</v>
      </c>
      <c r="M337" s="12">
        <f t="shared" si="225"/>
        <v>0.7600998513863917</v>
      </c>
      <c r="N337" s="37">
        <f t="shared" si="250"/>
        <v>10411.228827717638</v>
      </c>
      <c r="O337" s="1">
        <f t="shared" si="241"/>
        <v>129500.18683756559</v>
      </c>
      <c r="P337">
        <f t="shared" si="251"/>
        <v>359.86134390562927</v>
      </c>
      <c r="Q337" s="1">
        <f t="shared" si="252"/>
        <v>3746.598797651498</v>
      </c>
      <c r="R337" s="1">
        <f>+Q337*1000/'Material Properties'!AE$35</f>
        <v>3213032.2226439714</v>
      </c>
      <c r="S337" s="1">
        <f t="shared" si="253"/>
        <v>436.5532911201048</v>
      </c>
      <c r="T337" s="1">
        <f t="shared" si="254"/>
        <v>162.326656513447</v>
      </c>
      <c r="U337">
        <f t="shared" si="242"/>
        <v>5.255207809328209E-05</v>
      </c>
      <c r="V337">
        <f>+'Material Properties'!AE$31+'Material Properties'!AE$33</f>
        <v>0.00029034311030761144</v>
      </c>
      <c r="W337">
        <f t="shared" si="228"/>
        <v>0.00034289518840089354</v>
      </c>
      <c r="X337" s="1">
        <f>+'Volcano Summary'!E$12*10^9/Q337/3600/24/365</f>
        <v>0</v>
      </c>
      <c r="Y337" s="3">
        <f t="shared" si="229"/>
        <v>80</v>
      </c>
      <c r="Z337" s="1">
        <f>+Y337*'Volcano Summary'!B$19*'Volcano Summary'!B$20/1000</f>
        <v>3240000</v>
      </c>
      <c r="AA337" s="1">
        <f t="shared" si="243"/>
        <v>864784.3484151405</v>
      </c>
      <c r="AB337" s="3">
        <f t="shared" si="223"/>
        <v>240.21787455976127</v>
      </c>
      <c r="AC337" s="1">
        <f t="shared" si="230"/>
        <v>624859142.1656407</v>
      </c>
      <c r="AD337" s="36">
        <f t="shared" si="231"/>
        <v>173571.98393490023</v>
      </c>
      <c r="AE337" s="36">
        <f t="shared" si="221"/>
        <v>7232.1659972875095</v>
      </c>
      <c r="AG337" s="1">
        <f t="shared" si="244"/>
        <v>3239999999.9999995</v>
      </c>
      <c r="AH337" s="1">
        <f t="shared" si="232"/>
        <v>3240000</v>
      </c>
      <c r="AI337" s="1">
        <f t="shared" si="233"/>
        <v>3243239999.9999995</v>
      </c>
      <c r="AJ337" s="1">
        <f t="shared" si="234"/>
        <v>293360137438.24036</v>
      </c>
      <c r="AK337" s="1">
        <f t="shared" si="235"/>
        <v>293653497575.6786</v>
      </c>
      <c r="AL337" s="39">
        <f>+AJ337/('Volcano Summary'!C$8)*10^6</f>
        <v>20365.905038888377</v>
      </c>
      <c r="AM337" s="1">
        <f t="shared" si="245"/>
        <v>7232.1659972875095</v>
      </c>
    </row>
    <row r="338" spans="1:39" ht="12.75" hidden="1">
      <c r="A338" s="1">
        <f t="shared" si="226"/>
        <v>864784.3484151405</v>
      </c>
      <c r="B338" s="1">
        <f t="shared" si="227"/>
        <v>7242.04643985008</v>
      </c>
      <c r="C338" s="1">
        <f t="shared" si="237"/>
        <v>7440</v>
      </c>
      <c r="D338" s="12">
        <f t="shared" si="246"/>
        <v>97.32883546426316</v>
      </c>
      <c r="E338" s="38">
        <f t="shared" si="238"/>
        <v>1027576147.3442125</v>
      </c>
      <c r="F338" s="38">
        <f t="shared" si="239"/>
        <v>660678063.0868151</v>
      </c>
      <c r="G338" s="38">
        <f t="shared" si="240"/>
        <v>293779978.8294179</v>
      </c>
      <c r="H338" s="18">
        <f t="shared" si="247"/>
        <v>0.005137223697529887</v>
      </c>
      <c r="I338" s="50">
        <f t="shared" si="236"/>
        <v>0.031049660753676742</v>
      </c>
      <c r="J338" s="3">
        <f t="shared" si="248"/>
        <v>17.450905302405186</v>
      </c>
      <c r="K338" s="12">
        <f t="shared" si="224"/>
        <v>0.8823126742336727</v>
      </c>
      <c r="L338" s="3">
        <f t="shared" si="249"/>
        <v>1394.1240306290479</v>
      </c>
      <c r="M338" s="12">
        <f t="shared" si="225"/>
        <v>0.7594308844656332</v>
      </c>
      <c r="N338" s="37">
        <f t="shared" si="250"/>
        <v>10524.394358453697</v>
      </c>
      <c r="O338" s="1">
        <f t="shared" si="241"/>
        <v>130051.54427701168</v>
      </c>
      <c r="P338">
        <f t="shared" si="251"/>
        <v>360.6265995139733</v>
      </c>
      <c r="Q338" s="1">
        <f t="shared" si="252"/>
        <v>3795.3765494332015</v>
      </c>
      <c r="R338" s="1">
        <f>+Q338*1000/'Material Properties'!AE$35</f>
        <v>3254863.3598132306</v>
      </c>
      <c r="S338" s="1">
        <f t="shared" si="253"/>
        <v>437.4816343834987</v>
      </c>
      <c r="T338" s="1">
        <f t="shared" si="254"/>
        <v>164.07072895130614</v>
      </c>
      <c r="U338">
        <f t="shared" si="242"/>
        <v>5.199649692117145E-05</v>
      </c>
      <c r="V338">
        <f>+'Material Properties'!AE$31+'Material Properties'!AE$33</f>
        <v>0.00029034311030761144</v>
      </c>
      <c r="W338">
        <f t="shared" si="228"/>
        <v>0.00034233960722878287</v>
      </c>
      <c r="X338" s="1">
        <f>+'Volcano Summary'!E$12*10^9/Q338/3600/24/365</f>
        <v>0</v>
      </c>
      <c r="Y338" s="3">
        <f t="shared" si="229"/>
        <v>80</v>
      </c>
      <c r="Z338" s="1">
        <f>+Y338*'Volcano Summary'!B$19*'Volcano Summary'!B$20/1000</f>
        <v>3240000</v>
      </c>
      <c r="AA338" s="1">
        <f t="shared" si="243"/>
        <v>853670.237406051</v>
      </c>
      <c r="AB338" s="3">
        <f t="shared" si="223"/>
        <v>237.13062150168085</v>
      </c>
      <c r="AC338" s="1">
        <f t="shared" si="230"/>
        <v>625712812.4030467</v>
      </c>
      <c r="AD338" s="36">
        <f t="shared" si="231"/>
        <v>173809.1145564019</v>
      </c>
      <c r="AE338" s="36">
        <f t="shared" si="221"/>
        <v>7242.04643985008</v>
      </c>
      <c r="AG338" s="1">
        <f t="shared" si="244"/>
        <v>3240000000</v>
      </c>
      <c r="AH338" s="1">
        <f t="shared" si="232"/>
        <v>3240000</v>
      </c>
      <c r="AI338" s="1">
        <f t="shared" si="233"/>
        <v>3243240000</v>
      </c>
      <c r="AJ338" s="1">
        <f t="shared" si="234"/>
        <v>296600137438.24036</v>
      </c>
      <c r="AK338" s="1">
        <f t="shared" si="235"/>
        <v>296896737575.6786</v>
      </c>
      <c r="AL338" s="39">
        <f>+AJ338/('Volcano Summary'!C$8)*10^6</f>
        <v>20590.83516369066</v>
      </c>
      <c r="AM338" s="1">
        <f t="shared" si="245"/>
        <v>7242.04643985008</v>
      </c>
    </row>
    <row r="339" spans="1:39" ht="12.75" hidden="1">
      <c r="A339" s="1">
        <f t="shared" si="226"/>
        <v>853670.237406051</v>
      </c>
      <c r="B339" s="1">
        <f t="shared" si="227"/>
        <v>7251.801230939839</v>
      </c>
      <c r="C339" s="1">
        <f t="shared" si="237"/>
        <v>7520</v>
      </c>
      <c r="D339" s="12">
        <f t="shared" si="246"/>
        <v>97.85070963671353</v>
      </c>
      <c r="E339" s="38">
        <f t="shared" si="238"/>
        <v>1033085978.515694</v>
      </c>
      <c r="F339" s="38">
        <f t="shared" si="239"/>
        <v>664220598.2027947</v>
      </c>
      <c r="G339" s="38">
        <f t="shared" si="240"/>
        <v>295355217.8898954</v>
      </c>
      <c r="H339" s="18">
        <f t="shared" si="247"/>
        <v>0.005109824975785359</v>
      </c>
      <c r="I339" s="50">
        <f t="shared" si="236"/>
        <v>0.031018192978961853</v>
      </c>
      <c r="J339" s="3">
        <f t="shared" si="248"/>
        <v>17.349753718762937</v>
      </c>
      <c r="K339" s="12">
        <f t="shared" si="224"/>
        <v>0.8808965520626812</v>
      </c>
      <c r="L339" s="3">
        <f t="shared" si="249"/>
        <v>1391.8864452394916</v>
      </c>
      <c r="M339" s="12">
        <f t="shared" si="225"/>
        <v>0.7587733991719586</v>
      </c>
      <c r="N339" s="37">
        <f t="shared" si="250"/>
        <v>10637.55988918976</v>
      </c>
      <c r="O339" s="1">
        <f t="shared" si="241"/>
        <v>130599.81246369607</v>
      </c>
      <c r="P339">
        <f t="shared" si="251"/>
        <v>361.38596052378136</v>
      </c>
      <c r="Q339" s="1">
        <f t="shared" si="252"/>
        <v>3844.264798184091</v>
      </c>
      <c r="R339" s="1">
        <f>+Q339*1000/'Material Properties'!AE$35</f>
        <v>3296789.2576819067</v>
      </c>
      <c r="S339" s="1">
        <f t="shared" si="253"/>
        <v>438.4028268194025</v>
      </c>
      <c r="T339" s="1">
        <f t="shared" si="254"/>
        <v>165.77847476524153</v>
      </c>
      <c r="U339">
        <f t="shared" si="242"/>
        <v>5.146375386552794E-05</v>
      </c>
      <c r="V339">
        <f>+'Material Properties'!AE$31+'Material Properties'!AE$33</f>
        <v>0.00029034311030761144</v>
      </c>
      <c r="W339">
        <f t="shared" si="228"/>
        <v>0.00034180686417313935</v>
      </c>
      <c r="X339" s="1">
        <f>+'Volcano Summary'!E$12*10^9/Q339/3600/24/365</f>
        <v>0</v>
      </c>
      <c r="Y339" s="3">
        <f t="shared" si="229"/>
        <v>80</v>
      </c>
      <c r="Z339" s="1">
        <f>+Y339*'Volcano Summary'!B$19*'Volcano Summary'!B$20/1000</f>
        <v>3240000</v>
      </c>
      <c r="AA339" s="1">
        <f t="shared" si="243"/>
        <v>842813.9501551697</v>
      </c>
      <c r="AB339" s="3">
        <f t="shared" si="223"/>
        <v>234.1149861542138</v>
      </c>
      <c r="AC339" s="1">
        <f t="shared" si="230"/>
        <v>626555626.3532019</v>
      </c>
      <c r="AD339" s="36">
        <f t="shared" si="231"/>
        <v>174043.22954255613</v>
      </c>
      <c r="AE339" s="36">
        <f t="shared" si="221"/>
        <v>7251.801230939839</v>
      </c>
      <c r="AG339" s="1">
        <f t="shared" si="244"/>
        <v>3240000000</v>
      </c>
      <c r="AH339" s="1">
        <f t="shared" si="232"/>
        <v>3240000</v>
      </c>
      <c r="AI339" s="1">
        <f t="shared" si="233"/>
        <v>3243240000</v>
      </c>
      <c r="AJ339" s="1">
        <f t="shared" si="234"/>
        <v>299840137438.24036</v>
      </c>
      <c r="AK339" s="1">
        <f t="shared" si="235"/>
        <v>300139977575.6786</v>
      </c>
      <c r="AL339" s="39">
        <f>+AJ339/('Volcano Summary'!C$8)*10^6</f>
        <v>20815.76528849294</v>
      </c>
      <c r="AM339" s="1">
        <f t="shared" si="245"/>
        <v>7251.801230939839</v>
      </c>
    </row>
    <row r="340" spans="1:39" ht="12.75" hidden="1">
      <c r="A340" s="1">
        <f t="shared" si="226"/>
        <v>842813.9501551697</v>
      </c>
      <c r="B340" s="1">
        <f t="shared" si="227"/>
        <v>7261.433255182647</v>
      </c>
      <c r="C340" s="1">
        <f t="shared" si="237"/>
        <v>7600</v>
      </c>
      <c r="D340" s="12">
        <f t="shared" si="246"/>
        <v>98.3698151873187</v>
      </c>
      <c r="E340" s="38">
        <f t="shared" si="238"/>
        <v>1038566579.194942</v>
      </c>
      <c r="F340" s="38">
        <f t="shared" si="239"/>
        <v>667744339.6312777</v>
      </c>
      <c r="G340" s="38">
        <f t="shared" si="240"/>
        <v>296922100.0676135</v>
      </c>
      <c r="H340" s="18">
        <f t="shared" si="247"/>
        <v>0.005082860011964903</v>
      </c>
      <c r="I340" s="50">
        <f t="shared" si="236"/>
        <v>0.030987120914098</v>
      </c>
      <c r="J340" s="3">
        <f t="shared" si="248"/>
        <v>17.250319778019005</v>
      </c>
      <c r="K340" s="12">
        <f t="shared" si="224"/>
        <v>0.8795044768922662</v>
      </c>
      <c r="L340" s="3">
        <f t="shared" si="249"/>
        <v>1389.686856018807</v>
      </c>
      <c r="M340" s="12">
        <f t="shared" si="225"/>
        <v>0.758127078557123</v>
      </c>
      <c r="N340" s="37">
        <f t="shared" si="250"/>
        <v>10750.725419925817</v>
      </c>
      <c r="O340" s="1">
        <f t="shared" si="241"/>
        <v>131145.0375417271</v>
      </c>
      <c r="P340">
        <f t="shared" si="251"/>
        <v>362.13952772616125</v>
      </c>
      <c r="Q340" s="1">
        <f t="shared" si="252"/>
        <v>3893.262626285572</v>
      </c>
      <c r="R340" s="1">
        <f>+Q340*1000/'Material Properties'!AE$35</f>
        <v>3338809.129312761</v>
      </c>
      <c r="S340" s="1">
        <f t="shared" si="253"/>
        <v>439.3169906990475</v>
      </c>
      <c r="T340" s="1">
        <f t="shared" si="254"/>
        <v>167.45104467192823</v>
      </c>
      <c r="U340">
        <f t="shared" si="242"/>
        <v>5.0952460774544424E-05</v>
      </c>
      <c r="V340">
        <f>+'Material Properties'!AE$31+'Material Properties'!AE$33</f>
        <v>0.00029034311030761144</v>
      </c>
      <c r="W340">
        <f t="shared" si="228"/>
        <v>0.0003412955710821559</v>
      </c>
      <c r="X340" s="1">
        <f>+'Volcano Summary'!E$12*10^9/Q340/3600/24/365</f>
        <v>0</v>
      </c>
      <c r="Y340" s="3">
        <f t="shared" si="229"/>
        <v>80</v>
      </c>
      <c r="Z340" s="1">
        <f>+Y340*'Volcano Summary'!B$19*'Volcano Summary'!B$20/1000</f>
        <v>3240000</v>
      </c>
      <c r="AA340" s="1">
        <f t="shared" si="243"/>
        <v>832206.8945785897</v>
      </c>
      <c r="AB340" s="3">
        <f t="shared" si="223"/>
        <v>231.16858182738602</v>
      </c>
      <c r="AC340" s="1">
        <f t="shared" si="230"/>
        <v>627387833.2477804</v>
      </c>
      <c r="AD340" s="36">
        <f t="shared" si="231"/>
        <v>174274.39812438353</v>
      </c>
      <c r="AE340" s="36">
        <f t="shared" si="221"/>
        <v>7261.433255182647</v>
      </c>
      <c r="AG340" s="1">
        <f t="shared" si="244"/>
        <v>3240000000.0000005</v>
      </c>
      <c r="AH340" s="1">
        <f t="shared" si="232"/>
        <v>3240000</v>
      </c>
      <c r="AI340" s="1">
        <f t="shared" si="233"/>
        <v>3243240000.0000005</v>
      </c>
      <c r="AJ340" s="1">
        <f t="shared" si="234"/>
        <v>303080137438.24036</v>
      </c>
      <c r="AK340" s="1">
        <f t="shared" si="235"/>
        <v>303383217575.6786</v>
      </c>
      <c r="AL340" s="39">
        <f>+AJ340/('Volcano Summary'!C$8)*10^6</f>
        <v>21040.695413295227</v>
      </c>
      <c r="AM340" s="1">
        <f t="shared" si="245"/>
        <v>7261.433255182647</v>
      </c>
    </row>
    <row r="341" spans="1:39" ht="12.75" hidden="1">
      <c r="A341" s="1">
        <f t="shared" si="226"/>
        <v>832206.8945785897</v>
      </c>
      <c r="B341" s="1">
        <f t="shared" si="227"/>
        <v>7270.945302061517</v>
      </c>
      <c r="C341" s="1">
        <f t="shared" si="237"/>
        <v>7680</v>
      </c>
      <c r="D341" s="12">
        <f t="shared" si="246"/>
        <v>98.88619571793653</v>
      </c>
      <c r="E341" s="38">
        <f t="shared" si="238"/>
        <v>1044018409.7206515</v>
      </c>
      <c r="F341" s="38">
        <f t="shared" si="239"/>
        <v>671249583.3461231</v>
      </c>
      <c r="G341" s="38">
        <f t="shared" si="240"/>
        <v>298480756.97159475</v>
      </c>
      <c r="H341" s="18">
        <f t="shared" si="247"/>
        <v>0.0050563174806138</v>
      </c>
      <c r="I341" s="50">
        <f t="shared" si="236"/>
        <v>0.030956435434140676</v>
      </c>
      <c r="J341" s="3">
        <f t="shared" si="248"/>
        <v>17.152556562313798</v>
      </c>
      <c r="K341" s="12">
        <f t="shared" si="224"/>
        <v>0.8781357918723933</v>
      </c>
      <c r="L341" s="3">
        <f t="shared" si="249"/>
        <v>1387.524225091824</v>
      </c>
      <c r="M341" s="12">
        <f t="shared" si="225"/>
        <v>0.7574916176550391</v>
      </c>
      <c r="N341" s="37">
        <f t="shared" si="250"/>
        <v>10863.89095066188</v>
      </c>
      <c r="O341" s="1">
        <f t="shared" si="241"/>
        <v>131687.26449785617</v>
      </c>
      <c r="P341">
        <f t="shared" si="251"/>
        <v>362.8873991996087</v>
      </c>
      <c r="Q341" s="1">
        <f t="shared" si="252"/>
        <v>3942.369132273854</v>
      </c>
      <c r="R341" s="1">
        <f>+Q341*1000/'Material Properties'!AE$35</f>
        <v>3380922.201622695</v>
      </c>
      <c r="S341" s="1">
        <f t="shared" si="253"/>
        <v>440.2242450029551</v>
      </c>
      <c r="T341" s="1">
        <f t="shared" si="254"/>
        <v>169.08954094868614</v>
      </c>
      <c r="U341">
        <f t="shared" si="242"/>
        <v>5.04613398690768E-05</v>
      </c>
      <c r="V341">
        <f>+'Material Properties'!AE$31+'Material Properties'!AE$33</f>
        <v>0.00029034311030761144</v>
      </c>
      <c r="W341">
        <f t="shared" si="228"/>
        <v>0.00034080445017668824</v>
      </c>
      <c r="X341" s="1">
        <f>+'Volcano Summary'!E$12*10^9/Q341/3600/24/365</f>
        <v>0</v>
      </c>
      <c r="Y341" s="3">
        <f t="shared" si="229"/>
        <v>80</v>
      </c>
      <c r="Z341" s="1">
        <f>+Y341*'Volcano Summary'!B$19*'Volcano Summary'!B$20/1000</f>
        <v>3240000</v>
      </c>
      <c r="AA341" s="1">
        <f t="shared" si="243"/>
        <v>821840.8503343911</v>
      </c>
      <c r="AB341" s="3">
        <f t="shared" si="223"/>
        <v>228.28912509288642</v>
      </c>
      <c r="AC341" s="1">
        <f t="shared" si="230"/>
        <v>628209674.0981148</v>
      </c>
      <c r="AD341" s="36">
        <f t="shared" si="231"/>
        <v>174502.6872494764</v>
      </c>
      <c r="AE341" s="36">
        <f t="shared" si="221"/>
        <v>7270.945302061517</v>
      </c>
      <c r="AG341" s="1">
        <f t="shared" si="244"/>
        <v>3240000000</v>
      </c>
      <c r="AH341" s="1">
        <f t="shared" si="232"/>
        <v>3240000</v>
      </c>
      <c r="AI341" s="1">
        <f t="shared" si="233"/>
        <v>3243240000</v>
      </c>
      <c r="AJ341" s="1">
        <f t="shared" si="234"/>
        <v>306320137438.24036</v>
      </c>
      <c r="AK341" s="1">
        <f t="shared" si="235"/>
        <v>306626457575.6786</v>
      </c>
      <c r="AL341" s="39">
        <f>+AJ341/('Volcano Summary'!C$8)*10^6</f>
        <v>21265.625538097513</v>
      </c>
      <c r="AM341" s="1">
        <f t="shared" si="245"/>
        <v>7270.945302061517</v>
      </c>
    </row>
    <row r="342" spans="1:39" ht="12.75" hidden="1">
      <c r="A342" s="1">
        <f t="shared" si="226"/>
        <v>821840.8503343911</v>
      </c>
      <c r="B342" s="1">
        <f t="shared" si="227"/>
        <v>7280.340069991061</v>
      </c>
      <c r="C342" s="1">
        <f t="shared" si="237"/>
        <v>7760</v>
      </c>
      <c r="D342" s="12">
        <f t="shared" si="246"/>
        <v>99.39989369785495</v>
      </c>
      <c r="E342" s="38">
        <f t="shared" si="238"/>
        <v>1049441918.4740969</v>
      </c>
      <c r="F342" s="38">
        <f t="shared" si="239"/>
        <v>674736617.6331893</v>
      </c>
      <c r="G342" s="38">
        <f t="shared" si="240"/>
        <v>300031316.7922818</v>
      </c>
      <c r="H342" s="18">
        <f t="shared" si="247"/>
        <v>0.005030186465992066</v>
      </c>
      <c r="I342" s="50">
        <f t="shared" si="236"/>
        <v>0.030926127717704616</v>
      </c>
      <c r="J342" s="3">
        <f t="shared" si="248"/>
        <v>17.056418909113987</v>
      </c>
      <c r="K342" s="12">
        <f t="shared" si="224"/>
        <v>0.8767898647275959</v>
      </c>
      <c r="L342" s="3">
        <f t="shared" si="249"/>
        <v>1385.3975534131387</v>
      </c>
      <c r="M342" s="12">
        <f t="shared" si="225"/>
        <v>0.7568667229092404</v>
      </c>
      <c r="N342" s="37">
        <f t="shared" si="250"/>
        <v>10977.056481397944</v>
      </c>
      <c r="O342" s="1">
        <f t="shared" si="241"/>
        <v>132226.53720217018</v>
      </c>
      <c r="P342">
        <f t="shared" si="251"/>
        <v>363.6296704095668</v>
      </c>
      <c r="Q342" s="1">
        <f t="shared" si="252"/>
        <v>3991.583430397933</v>
      </c>
      <c r="R342" s="1">
        <f>+Q342*1000/'Material Properties'!AE$35</f>
        <v>3423127.715003683</v>
      </c>
      <c r="S342" s="1">
        <f t="shared" si="253"/>
        <v>441.12470554171176</v>
      </c>
      <c r="T342" s="1">
        <f t="shared" si="254"/>
        <v>170.69501996209056</v>
      </c>
      <c r="U342">
        <f t="shared" si="242"/>
        <v>4.998921298470703E-05</v>
      </c>
      <c r="V342">
        <f>+'Material Properties'!AE$31+'Material Properties'!AE$33</f>
        <v>0.00029034311030761144</v>
      </c>
      <c r="W342">
        <f t="shared" si="228"/>
        <v>0.0003403323232923185</v>
      </c>
      <c r="X342" s="1">
        <f>+'Volcano Summary'!E$12*10^9/Q342/3600/24/365</f>
        <v>0</v>
      </c>
      <c r="Y342" s="3">
        <f t="shared" si="229"/>
        <v>80</v>
      </c>
      <c r="Z342" s="1">
        <f>+Y342*'Volcano Summary'!B$19*'Volcano Summary'!B$20/1000</f>
        <v>3240000</v>
      </c>
      <c r="AA342" s="1">
        <f t="shared" si="243"/>
        <v>811707.9491125642</v>
      </c>
      <c r="AB342" s="3">
        <f t="shared" si="223"/>
        <v>225.4744303090456</v>
      </c>
      <c r="AC342" s="1">
        <f t="shared" si="230"/>
        <v>629021382.0472274</v>
      </c>
      <c r="AD342" s="36">
        <f t="shared" si="231"/>
        <v>174728.16167978547</v>
      </c>
      <c r="AE342" s="36">
        <f t="shared" si="221"/>
        <v>7280.340069991061</v>
      </c>
      <c r="AG342" s="1">
        <f t="shared" si="244"/>
        <v>3240000000</v>
      </c>
      <c r="AH342" s="1">
        <f t="shared" si="232"/>
        <v>3240000</v>
      </c>
      <c r="AI342" s="1">
        <f t="shared" si="233"/>
        <v>3243240000</v>
      </c>
      <c r="AJ342" s="1">
        <f t="shared" si="234"/>
        <v>309560137438.24036</v>
      </c>
      <c r="AK342" s="1">
        <f t="shared" si="235"/>
        <v>309869697575.6786</v>
      </c>
      <c r="AL342" s="39">
        <f>+AJ342/('Volcano Summary'!C$8)*10^6</f>
        <v>21490.55566289979</v>
      </c>
      <c r="AM342" s="1">
        <f t="shared" si="245"/>
        <v>7280.340069991061</v>
      </c>
    </row>
    <row r="343" spans="1:39" ht="12.75" hidden="1">
      <c r="A343" s="1">
        <f t="shared" si="226"/>
        <v>811707.9491125642</v>
      </c>
      <c r="B343" s="1">
        <f t="shared" si="227"/>
        <v>7289.620170178082</v>
      </c>
      <c r="C343" s="1">
        <f t="shared" si="237"/>
        <v>7840</v>
      </c>
      <c r="D343" s="12">
        <f t="shared" si="246"/>
        <v>99.91095050455519</v>
      </c>
      <c r="E343" s="38">
        <f t="shared" si="238"/>
        <v>1054837542.3095008</v>
      </c>
      <c r="F343" s="38">
        <f t="shared" si="239"/>
        <v>678205723.3670398</v>
      </c>
      <c r="G343" s="38">
        <f t="shared" si="240"/>
        <v>301573904.42457867</v>
      </c>
      <c r="H343" s="18">
        <f t="shared" si="247"/>
        <v>0.005004456443212436</v>
      </c>
      <c r="I343" s="50">
        <f t="shared" si="236"/>
        <v>0.03089618923383778</v>
      </c>
      <c r="J343" s="3">
        <f t="shared" si="248"/>
        <v>16.961863328199016</v>
      </c>
      <c r="K343" s="12">
        <f t="shared" si="224"/>
        <v>0.8754660865947863</v>
      </c>
      <c r="L343" s="3">
        <f t="shared" si="249"/>
        <v>1383.3058789307631</v>
      </c>
      <c r="M343" s="12">
        <f t="shared" si="225"/>
        <v>0.7562521116332931</v>
      </c>
      <c r="N343" s="37">
        <f t="shared" si="250"/>
        <v>11090.222012134005</v>
      </c>
      <c r="O343" s="1">
        <f t="shared" si="241"/>
        <v>132762.8984469501</v>
      </c>
      <c r="P343">
        <f t="shared" si="251"/>
        <v>364.3664343033673</v>
      </c>
      <c r="Q343" s="1">
        <f t="shared" si="252"/>
        <v>4040.9046501939833</v>
      </c>
      <c r="R343" s="1">
        <f>+Q343*1000/'Material Properties'!AE$35</f>
        <v>3465424.9229577743</v>
      </c>
      <c r="S343" s="1">
        <f t="shared" si="253"/>
        <v>442.01848507114465</v>
      </c>
      <c r="T343" s="1">
        <f t="shared" si="254"/>
        <v>172.26849453968657</v>
      </c>
      <c r="U343">
        <f t="shared" si="242"/>
        <v>4.9534992048072146E-05</v>
      </c>
      <c r="V343">
        <f>+'Material Properties'!AE$31+'Material Properties'!AE$33</f>
        <v>0.00029034311030761144</v>
      </c>
      <c r="W343">
        <f t="shared" si="228"/>
        <v>0.0003398781023556836</v>
      </c>
      <c r="X343" s="1">
        <f>+'Volcano Summary'!E$12*10^9/Q343/3600/24/365</f>
        <v>0</v>
      </c>
      <c r="Y343" s="3">
        <f t="shared" si="229"/>
        <v>80</v>
      </c>
      <c r="Z343" s="1">
        <f>+Y343*'Volcano Summary'!B$19*'Volcano Summary'!B$20/1000</f>
        <v>3240000</v>
      </c>
      <c r="AA343" s="1">
        <f t="shared" si="243"/>
        <v>801800.6561586312</v>
      </c>
      <c r="AB343" s="3">
        <f t="shared" si="223"/>
        <v>222.72240448850866</v>
      </c>
      <c r="AC343" s="1">
        <f t="shared" si="230"/>
        <v>629823182.7033861</v>
      </c>
      <c r="AD343" s="36">
        <f t="shared" si="231"/>
        <v>174950.88408427397</v>
      </c>
      <c r="AE343" s="36">
        <f t="shared" si="221"/>
        <v>7289.620170178082</v>
      </c>
      <c r="AG343" s="1">
        <f t="shared" si="244"/>
        <v>3240000000</v>
      </c>
      <c r="AH343" s="1">
        <f t="shared" si="232"/>
        <v>3240000</v>
      </c>
      <c r="AI343" s="1">
        <f t="shared" si="233"/>
        <v>3243240000</v>
      </c>
      <c r="AJ343" s="1">
        <f t="shared" si="234"/>
        <v>312800137438.24036</v>
      </c>
      <c r="AK343" s="1">
        <f t="shared" si="235"/>
        <v>313112937575.6786</v>
      </c>
      <c r="AL343" s="39">
        <f>+AJ343/('Volcano Summary'!C$8)*10^6</f>
        <v>21715.485787702077</v>
      </c>
      <c r="AM343" s="1">
        <f t="shared" si="245"/>
        <v>7289.620170178082</v>
      </c>
    </row>
    <row r="344" spans="1:39" ht="12.75" hidden="1">
      <c r="A344" s="1">
        <f t="shared" si="226"/>
        <v>801800.6561586312</v>
      </c>
      <c r="B344" s="1">
        <f t="shared" si="227"/>
        <v>7298.701547952293</v>
      </c>
      <c r="C344" s="1">
        <f t="shared" si="237"/>
        <v>7920</v>
      </c>
      <c r="D344" s="12">
        <f t="shared" si="246"/>
        <v>100.41940646260807</v>
      </c>
      <c r="E344" s="38">
        <f t="shared" si="238"/>
        <v>1060205706.9646921</v>
      </c>
      <c r="F344" s="38">
        <f t="shared" si="239"/>
        <v>681657174.274974</v>
      </c>
      <c r="G344" s="38">
        <f t="shared" si="240"/>
        <v>303108641.5852561</v>
      </c>
      <c r="H344" s="18">
        <f t="shared" si="247"/>
        <v>0.0049791172604289275</v>
      </c>
      <c r="I344" s="50">
        <v>0.03</v>
      </c>
      <c r="J344" s="3">
        <f t="shared" si="248"/>
        <v>16.437351781286782</v>
      </c>
      <c r="K344" s="12">
        <f t="shared" si="224"/>
        <v>0.868122924938015</v>
      </c>
      <c r="L344" s="3">
        <f t="shared" si="249"/>
        <v>1371.7031008845447</v>
      </c>
      <c r="M344" s="12">
        <f>0.698-(6-J344)/2*(0.698-0.685)</f>
        <v>0.7658427865783635</v>
      </c>
      <c r="N344" s="37">
        <f t="shared" si="250"/>
        <v>11203.387542870067</v>
      </c>
      <c r="O344" s="1">
        <f t="shared" si="241"/>
        <v>135850.21584589715</v>
      </c>
      <c r="P344">
        <f t="shared" si="251"/>
        <v>368.57864268822897</v>
      </c>
      <c r="Q344" s="1">
        <f t="shared" si="252"/>
        <v>4129.329374061262</v>
      </c>
      <c r="R344" s="1">
        <f>+Q344*1000/'Material Properties'!AE$35</f>
        <v>3541256.764691683</v>
      </c>
      <c r="S344" s="1">
        <f t="shared" si="253"/>
        <v>447.128379380263</v>
      </c>
      <c r="T344" s="1">
        <f t="shared" si="254"/>
        <v>180.8961927981086</v>
      </c>
      <c r="U344">
        <f t="shared" si="242"/>
        <v>4.7184156433496244E-05</v>
      </c>
      <c r="V344">
        <f>+'Material Properties'!AE$31+'Material Properties'!AE$33</f>
        <v>0.00029034311030761144</v>
      </c>
      <c r="W344">
        <f t="shared" si="228"/>
        <v>0.00033752726674110767</v>
      </c>
      <c r="X344" s="1">
        <f>+'Volcano Summary'!E$12*10^9/Q344/3600/24/365</f>
        <v>0</v>
      </c>
      <c r="Y344" s="3">
        <f t="shared" si="229"/>
        <v>80</v>
      </c>
      <c r="Z344" s="1">
        <f>+Y344*'Volcano Summary'!B$19*'Volcano Summary'!B$20/1000</f>
        <v>3240000</v>
      </c>
      <c r="AA344" s="1">
        <f t="shared" si="243"/>
        <v>784631.0396919023</v>
      </c>
      <c r="AB344" s="3">
        <f t="shared" si="223"/>
        <v>217.953066581084</v>
      </c>
      <c r="AC344" s="1">
        <f t="shared" si="230"/>
        <v>630607813.743078</v>
      </c>
      <c r="AD344" s="36">
        <f t="shared" si="231"/>
        <v>175168.83715085505</v>
      </c>
      <c r="AE344" s="36">
        <f t="shared" si="221"/>
        <v>7298.701547952293</v>
      </c>
      <c r="AG344" s="1">
        <f t="shared" si="244"/>
        <v>3240000000</v>
      </c>
      <c r="AH344" s="1">
        <f t="shared" si="232"/>
        <v>3240000</v>
      </c>
      <c r="AI344" s="1">
        <f t="shared" si="233"/>
        <v>3243240000</v>
      </c>
      <c r="AJ344" s="1">
        <f t="shared" si="234"/>
        <v>316040137438.24036</v>
      </c>
      <c r="AK344" s="1">
        <f t="shared" si="235"/>
        <v>316356177575.6786</v>
      </c>
      <c r="AL344" s="39">
        <f>+AJ344/('Volcano Summary'!C$8)*10^6</f>
        <v>21940.41591250436</v>
      </c>
      <c r="AM344" s="1">
        <f t="shared" si="245"/>
        <v>7298.701547952293</v>
      </c>
    </row>
    <row r="345" spans="1:39" ht="12.75" hidden="1">
      <c r="A345" s="1">
        <f t="shared" si="226"/>
        <v>784631.0396919023</v>
      </c>
      <c r="B345" s="1">
        <f t="shared" si="227"/>
        <v>7309.417336631631</v>
      </c>
      <c r="C345" s="1">
        <f t="shared" si="237"/>
        <v>8000</v>
      </c>
      <c r="D345" s="12">
        <f t="shared" si="246"/>
        <v>100.9253008808064</v>
      </c>
      <c r="E345" s="38">
        <f t="shared" si="238"/>
        <v>1065546827.4531424</v>
      </c>
      <c r="F345" s="38">
        <f t="shared" si="239"/>
        <v>685091237.1890877</v>
      </c>
      <c r="G345" s="38">
        <f t="shared" si="240"/>
        <v>304635646.92503333</v>
      </c>
      <c r="H345" s="18">
        <f t="shared" si="247"/>
        <v>0.004954159122007514</v>
      </c>
      <c r="I345" s="50">
        <f aca="true" t="shared" si="255" ref="I345:I376">+I$344*LN(H$344)/LN(H345)</f>
        <v>0.02997159599672897</v>
      </c>
      <c r="J345" s="3">
        <f t="shared" si="248"/>
        <v>16.348405570831872</v>
      </c>
      <c r="K345" s="12">
        <f>0.722-(6-J345)/2*(0.722-0.678)</f>
        <v>0.9496649225583008</v>
      </c>
      <c r="L345" s="3">
        <f t="shared" si="249"/>
        <v>1500.5459269118064</v>
      </c>
      <c r="M345" s="12">
        <f aca="true" t="shared" si="256" ref="M345:M409">0.698-(6-J345)/2*(0.698-0.685)</f>
        <v>0.7652646362104066</v>
      </c>
      <c r="N345" s="37">
        <f t="shared" si="250"/>
        <v>11316.553073606126</v>
      </c>
      <c r="O345" s="1">
        <f t="shared" si="241"/>
        <v>149419.04327240292</v>
      </c>
      <c r="P345">
        <f t="shared" si="251"/>
        <v>386.5475950932859</v>
      </c>
      <c r="Q345" s="1">
        <f t="shared" si="252"/>
        <v>4374.386375347981</v>
      </c>
      <c r="R345" s="1">
        <f>+Q345*1000/'Material Properties'!AE$35</f>
        <v>3751414.3193282485</v>
      </c>
      <c r="S345" s="1">
        <f t="shared" si="253"/>
        <v>468.92678991603105</v>
      </c>
      <c r="T345" s="1">
        <f t="shared" si="254"/>
        <v>75.53009543593203</v>
      </c>
      <c r="U345">
        <f t="shared" si="242"/>
        <v>0.00011223196767025463</v>
      </c>
      <c r="V345">
        <f>+'Material Properties'!AE$31+'Material Properties'!AE$33</f>
        <v>0.00029034311030761144</v>
      </c>
      <c r="W345">
        <f t="shared" si="228"/>
        <v>0.0004025750779778661</v>
      </c>
      <c r="X345" s="1">
        <f>+'Volcano Summary'!E$12*10^9/Q345/3600/24/365</f>
        <v>0</v>
      </c>
      <c r="Y345" s="3">
        <f t="shared" si="229"/>
        <v>100</v>
      </c>
      <c r="Z345" s="1">
        <f>+Y345*'Volcano Summary'!B$19*'Volcano Summary'!B$20/1000</f>
        <v>4050000</v>
      </c>
      <c r="AA345" s="1">
        <f t="shared" si="243"/>
        <v>925844.1418947187</v>
      </c>
      <c r="AB345" s="3">
        <f t="shared" si="223"/>
        <v>257.1789283040885</v>
      </c>
      <c r="AC345" s="1">
        <f t="shared" si="230"/>
        <v>631533657.8849727</v>
      </c>
      <c r="AD345" s="36">
        <f t="shared" si="231"/>
        <v>175426.01607915913</v>
      </c>
      <c r="AE345" s="36">
        <f t="shared" si="221"/>
        <v>7309.417336631631</v>
      </c>
      <c r="AG345" s="1">
        <f t="shared" si="244"/>
        <v>4050000000.0000005</v>
      </c>
      <c r="AH345" s="1">
        <f t="shared" si="232"/>
        <v>4050000</v>
      </c>
      <c r="AI345" s="1">
        <f t="shared" si="233"/>
        <v>4054050000.0000005</v>
      </c>
      <c r="AJ345" s="1">
        <f t="shared" si="234"/>
        <v>320090137438.24036</v>
      </c>
      <c r="AK345" s="1">
        <f t="shared" si="235"/>
        <v>320410227575.6786</v>
      </c>
      <c r="AL345" s="39">
        <f>+AJ345/('Volcano Summary'!C$8)*10^6</f>
        <v>22221.57856850721</v>
      </c>
      <c r="AM345" s="1">
        <f t="shared" si="245"/>
        <v>7309.417336631631</v>
      </c>
    </row>
    <row r="346" spans="1:39" ht="12.75" hidden="1">
      <c r="A346" s="1">
        <f t="shared" si="226"/>
        <v>925844.1418947187</v>
      </c>
      <c r="B346" s="1">
        <f t="shared" si="227"/>
        <v>7319.978795151862</v>
      </c>
      <c r="C346" s="1">
        <f t="shared" si="237"/>
        <v>8100</v>
      </c>
      <c r="D346" s="1">
        <f t="shared" si="246"/>
        <v>101.55412503859613</v>
      </c>
      <c r="E346" s="38">
        <f t="shared" si="238"/>
        <v>1072185812.7275095</v>
      </c>
      <c r="F346" s="38">
        <f t="shared" si="239"/>
        <v>689359759.7149045</v>
      </c>
      <c r="G346" s="38">
        <f t="shared" si="240"/>
        <v>306533706.70229965</v>
      </c>
      <c r="H346" s="18">
        <f t="shared" si="247"/>
        <v>0.004923482919181989</v>
      </c>
      <c r="I346" s="50">
        <f t="shared" si="255"/>
        <v>0.029936562026820473</v>
      </c>
      <c r="J346" s="3">
        <f t="shared" si="248"/>
        <v>16.239215179808276</v>
      </c>
      <c r="K346" s="12">
        <f aca="true" t="shared" si="257" ref="K346:K410">0.722-(6-J346)/2*(0.722-0.678)</f>
        <v>0.9472627339557818</v>
      </c>
      <c r="L346" s="3">
        <f t="shared" si="249"/>
        <v>1496.7502783229615</v>
      </c>
      <c r="M346" s="12">
        <f t="shared" si="256"/>
        <v>0.7645548986687533</v>
      </c>
      <c r="N346" s="37">
        <f t="shared" si="250"/>
        <v>11458.009987026204</v>
      </c>
      <c r="O346" s="1">
        <f t="shared" si="241"/>
        <v>150043.2191071665</v>
      </c>
      <c r="P346">
        <f t="shared" si="251"/>
        <v>387.3541262296898</v>
      </c>
      <c r="Q346" s="1">
        <f t="shared" si="252"/>
        <v>4438.307446855594</v>
      </c>
      <c r="R346" s="1">
        <f>+Q346*1000/'Material Properties'!AE$35</f>
        <v>3806232.1617373773</v>
      </c>
      <c r="S346" s="1">
        <f t="shared" si="253"/>
        <v>469.9052051527626</v>
      </c>
      <c r="T346" s="1">
        <f t="shared" si="254"/>
        <v>78.93451762967584</v>
      </c>
      <c r="U346">
        <f t="shared" si="242"/>
        <v>0.00010744600524537332</v>
      </c>
      <c r="V346">
        <f>+'Material Properties'!AE$31+'Material Properties'!AE$33</f>
        <v>0.00029034311030761144</v>
      </c>
      <c r="W346">
        <f t="shared" si="228"/>
        <v>0.0003977891155529848</v>
      </c>
      <c r="X346" s="1">
        <f>+'Volcano Summary'!E$12*10^9/Q346/3600/24/365</f>
        <v>0</v>
      </c>
      <c r="Y346" s="3">
        <f t="shared" si="229"/>
        <v>100</v>
      </c>
      <c r="Z346" s="1">
        <f>+Y346*'Volcano Summary'!B$19*'Volcano Summary'!B$20/1000</f>
        <v>4050000</v>
      </c>
      <c r="AA346" s="1">
        <f t="shared" si="243"/>
        <v>912510.0161480029</v>
      </c>
      <c r="AB346" s="3">
        <f t="shared" si="223"/>
        <v>253.47500448555638</v>
      </c>
      <c r="AC346" s="1">
        <f t="shared" si="230"/>
        <v>632446167.9011207</v>
      </c>
      <c r="AD346" s="36">
        <f t="shared" si="231"/>
        <v>175679.49108364468</v>
      </c>
      <c r="AE346" s="36">
        <f t="shared" si="221"/>
        <v>7319.978795151862</v>
      </c>
      <c r="AG346" s="1">
        <f t="shared" si="244"/>
        <v>4050000000</v>
      </c>
      <c r="AH346" s="1">
        <f t="shared" si="232"/>
        <v>4050000</v>
      </c>
      <c r="AI346" s="1">
        <f t="shared" si="233"/>
        <v>4054050000</v>
      </c>
      <c r="AJ346" s="1">
        <f t="shared" si="234"/>
        <v>324140137438.24036</v>
      </c>
      <c r="AK346" s="1">
        <f t="shared" si="235"/>
        <v>324464277575.6786</v>
      </c>
      <c r="AL346" s="39">
        <f>+AJ346/('Volcano Summary'!C$8)*10^6</f>
        <v>22502.741224510068</v>
      </c>
      <c r="AM346" s="1">
        <f t="shared" si="245"/>
        <v>7319.978795151862</v>
      </c>
    </row>
    <row r="347" spans="1:39" ht="12.75" hidden="1">
      <c r="A347" s="1">
        <f t="shared" si="226"/>
        <v>912510.0161480029</v>
      </c>
      <c r="B347" s="1">
        <f t="shared" si="227"/>
        <v>7330.389963869792</v>
      </c>
      <c r="C347" s="1">
        <f t="shared" si="237"/>
        <v>8200</v>
      </c>
      <c r="D347" s="1">
        <f t="shared" si="246"/>
        <v>102.17907939900581</v>
      </c>
      <c r="E347" s="38">
        <f t="shared" si="238"/>
        <v>1078783941.5438306</v>
      </c>
      <c r="F347" s="38">
        <f t="shared" si="239"/>
        <v>693602013.6613697</v>
      </c>
      <c r="G347" s="38">
        <f t="shared" si="240"/>
        <v>308420085.7789087</v>
      </c>
      <c r="H347" s="18">
        <f t="shared" si="247"/>
        <v>0.0048933695913183665</v>
      </c>
      <c r="I347" s="50">
        <f t="shared" si="255"/>
        <v>0.029902038241234517</v>
      </c>
      <c r="J347" s="3">
        <f t="shared" si="248"/>
        <v>16.132172464809592</v>
      </c>
      <c r="K347" s="12">
        <f t="shared" si="257"/>
        <v>0.9449077942258106</v>
      </c>
      <c r="L347" s="3">
        <f t="shared" si="249"/>
        <v>1493.0292867016099</v>
      </c>
      <c r="M347" s="12">
        <f t="shared" si="256"/>
        <v>0.7638591210212617</v>
      </c>
      <c r="N347" s="37">
        <f t="shared" si="250"/>
        <v>11599.466900446281</v>
      </c>
      <c r="O347" s="1">
        <f t="shared" si="241"/>
        <v>150663.31976523227</v>
      </c>
      <c r="P347">
        <f t="shared" si="251"/>
        <v>388.1537321284342</v>
      </c>
      <c r="Q347" s="1">
        <f t="shared" si="252"/>
        <v>4502.376368108466</v>
      </c>
      <c r="R347" s="1">
        <f>+Q347*1000/'Material Properties'!AE$35</f>
        <v>3861176.7980791577</v>
      </c>
      <c r="S347" s="1">
        <f t="shared" si="253"/>
        <v>470.8752192779461</v>
      </c>
      <c r="T347" s="1">
        <f t="shared" si="254"/>
        <v>82.2542766898564</v>
      </c>
      <c r="U347">
        <f t="shared" si="242"/>
        <v>0.00010315645017265092</v>
      </c>
      <c r="V347">
        <f>+'Material Properties'!AE$31+'Material Properties'!AE$33</f>
        <v>0.00029034311030761144</v>
      </c>
      <c r="W347">
        <f t="shared" si="228"/>
        <v>0.00039349956048026236</v>
      </c>
      <c r="X347" s="1">
        <f>+'Volcano Summary'!E$12*10^9/Q347/3600/24/365</f>
        <v>0</v>
      </c>
      <c r="Y347" s="3">
        <f t="shared" si="229"/>
        <v>100</v>
      </c>
      <c r="Z347" s="1">
        <f>+Y347*'Volcano Summary'!B$19*'Volcano Summary'!B$20/1000</f>
        <v>4050000</v>
      </c>
      <c r="AA347" s="1">
        <f t="shared" si="243"/>
        <v>899524.9772291876</v>
      </c>
      <c r="AB347" s="3">
        <f t="shared" si="223"/>
        <v>249.8680492303299</v>
      </c>
      <c r="AC347" s="1">
        <f t="shared" si="230"/>
        <v>633345692.8783499</v>
      </c>
      <c r="AD347" s="36">
        <f t="shared" si="231"/>
        <v>175929.35913287502</v>
      </c>
      <c r="AE347" s="36">
        <f t="shared" si="221"/>
        <v>7330.389963869792</v>
      </c>
      <c r="AG347" s="1">
        <f t="shared" si="244"/>
        <v>4050000000</v>
      </c>
      <c r="AH347" s="1">
        <f t="shared" si="232"/>
        <v>4050000</v>
      </c>
      <c r="AI347" s="1">
        <f t="shared" si="233"/>
        <v>4054050000</v>
      </c>
      <c r="AJ347" s="1">
        <f t="shared" si="234"/>
        <v>328190137438.24036</v>
      </c>
      <c r="AK347" s="1">
        <f t="shared" si="235"/>
        <v>328518327575.6786</v>
      </c>
      <c r="AL347" s="39">
        <f>+AJ347/('Volcano Summary'!C$8)*10^6</f>
        <v>22783.90388051292</v>
      </c>
      <c r="AM347" s="1">
        <f t="shared" si="245"/>
        <v>7330.389963869792</v>
      </c>
    </row>
    <row r="348" spans="1:39" ht="12.75" hidden="1">
      <c r="A348" s="1">
        <f t="shared" si="226"/>
        <v>899524.9772291876</v>
      </c>
      <c r="B348" s="1">
        <f t="shared" si="227"/>
        <v>7340.654730788613</v>
      </c>
      <c r="C348" s="1">
        <f t="shared" si="237"/>
        <v>8300</v>
      </c>
      <c r="D348" s="1">
        <f t="shared" si="246"/>
        <v>102.80023453913834</v>
      </c>
      <c r="E348" s="38">
        <f t="shared" si="238"/>
        <v>1085341959.039425</v>
      </c>
      <c r="F348" s="38">
        <f t="shared" si="239"/>
        <v>697818478.1130569</v>
      </c>
      <c r="G348" s="38">
        <f t="shared" si="240"/>
        <v>310294997.186689</v>
      </c>
      <c r="H348" s="18">
        <f t="shared" si="247"/>
        <v>0.004863802132763022</v>
      </c>
      <c r="I348" s="50">
        <f t="shared" si="255"/>
        <v>0.029868011032982998</v>
      </c>
      <c r="J348" s="3">
        <f t="shared" si="248"/>
        <v>16.02720957636122</v>
      </c>
      <c r="K348" s="12">
        <f t="shared" si="257"/>
        <v>0.9425986106799464</v>
      </c>
      <c r="L348" s="3">
        <f t="shared" si="249"/>
        <v>1489.3805934815805</v>
      </c>
      <c r="M348" s="12">
        <f t="shared" si="256"/>
        <v>0.7631768622463474</v>
      </c>
      <c r="N348" s="37">
        <f t="shared" si="250"/>
        <v>11740.923813866357</v>
      </c>
      <c r="O348" s="1">
        <f t="shared" si="241"/>
        <v>151279.41517118548</v>
      </c>
      <c r="P348">
        <f t="shared" si="251"/>
        <v>388.9465453904758</v>
      </c>
      <c r="Q348" s="1">
        <f t="shared" si="252"/>
        <v>4566.591757096089</v>
      </c>
      <c r="R348" s="1">
        <f>+Q348*1000/'Material Properties'!AE$35</f>
        <v>3916247.043160159</v>
      </c>
      <c r="S348" s="1">
        <f t="shared" si="253"/>
        <v>471.8369931518264</v>
      </c>
      <c r="T348" s="1">
        <f t="shared" si="254"/>
        <v>85.49251529216872</v>
      </c>
      <c r="U348">
        <f t="shared" si="242"/>
        <v>9.92898513371281E-05</v>
      </c>
      <c r="V348">
        <f>+'Material Properties'!AE$31+'Material Properties'!AE$33</f>
        <v>0.00029034311030761144</v>
      </c>
      <c r="W348">
        <f t="shared" si="228"/>
        <v>0.00038963296164473953</v>
      </c>
      <c r="X348" s="1">
        <f>+'Volcano Summary'!E$12*10^9/Q348/3600/24/365</f>
        <v>0</v>
      </c>
      <c r="Y348" s="3">
        <f t="shared" si="229"/>
        <v>100</v>
      </c>
      <c r="Z348" s="1">
        <f>+Y348*'Volcano Summary'!B$19*'Volcano Summary'!B$20/1000</f>
        <v>4050000</v>
      </c>
      <c r="AA348" s="1">
        <f t="shared" si="243"/>
        <v>886875.8617861229</v>
      </c>
      <c r="AB348" s="3">
        <f t="shared" si="223"/>
        <v>246.3544060517008</v>
      </c>
      <c r="AC348" s="1">
        <f t="shared" si="230"/>
        <v>634232568.740136</v>
      </c>
      <c r="AD348" s="36">
        <f t="shared" si="231"/>
        <v>176175.7135389267</v>
      </c>
      <c r="AE348" s="36">
        <f t="shared" si="221"/>
        <v>7340.654730788613</v>
      </c>
      <c r="AG348" s="1">
        <f t="shared" si="244"/>
        <v>4049999999.9999995</v>
      </c>
      <c r="AH348" s="1">
        <f t="shared" si="232"/>
        <v>4050000</v>
      </c>
      <c r="AI348" s="1">
        <f t="shared" si="233"/>
        <v>4054049999.9999995</v>
      </c>
      <c r="AJ348" s="1">
        <f t="shared" si="234"/>
        <v>332240137438.24036</v>
      </c>
      <c r="AK348" s="1">
        <f t="shared" si="235"/>
        <v>332572377575.6786</v>
      </c>
      <c r="AL348" s="39">
        <f>+AJ348/('Volcano Summary'!C$8)*10^6</f>
        <v>23065.066536515777</v>
      </c>
      <c r="AM348" s="1">
        <f t="shared" si="245"/>
        <v>7340.654730788613</v>
      </c>
    </row>
    <row r="349" spans="1:39" ht="12.75" hidden="1">
      <c r="A349" s="1">
        <f t="shared" si="226"/>
        <v>886875.8617861229</v>
      </c>
      <c r="B349" s="1">
        <f t="shared" si="227"/>
        <v>7350.776839024034</v>
      </c>
      <c r="C349" s="1">
        <f t="shared" si="237"/>
        <v>8400</v>
      </c>
      <c r="D349" s="1">
        <f t="shared" si="246"/>
        <v>103.41765891652821</v>
      </c>
      <c r="E349" s="38">
        <f t="shared" si="238"/>
        <v>1091860587.9736795</v>
      </c>
      <c r="F349" s="38">
        <f t="shared" si="239"/>
        <v>702009617.7666931</v>
      </c>
      <c r="G349" s="38">
        <f t="shared" si="240"/>
        <v>312158647.5597068</v>
      </c>
      <c r="H349" s="18">
        <f t="shared" si="247"/>
        <v>0.004834764248565774</v>
      </c>
      <c r="I349" s="50">
        <f t="shared" si="255"/>
        <v>0.029834467317862462</v>
      </c>
      <c r="J349" s="3">
        <f t="shared" si="248"/>
        <v>15.924261596340545</v>
      </c>
      <c r="K349" s="12">
        <f t="shared" si="257"/>
        <v>0.9403337551194916</v>
      </c>
      <c r="L349" s="3">
        <f t="shared" si="249"/>
        <v>1485.8019419956133</v>
      </c>
      <c r="M349" s="12">
        <f t="shared" si="256"/>
        <v>0.762507700376213</v>
      </c>
      <c r="N349" s="37">
        <f t="shared" si="250"/>
        <v>11882.380727286432</v>
      </c>
      <c r="O349" s="1">
        <f t="shared" si="241"/>
        <v>151891.57324169425</v>
      </c>
      <c r="P349">
        <f t="shared" si="251"/>
        <v>389.7326946019467</v>
      </c>
      <c r="Q349" s="1">
        <f t="shared" si="252"/>
        <v>4630.952259131581</v>
      </c>
      <c r="R349" s="1">
        <f>+Q349*1000/'Material Properties'!AE$35</f>
        <v>3971441.735219314</v>
      </c>
      <c r="S349" s="1">
        <f t="shared" si="253"/>
        <v>472.79068276420406</v>
      </c>
      <c r="T349" s="1">
        <f t="shared" si="254"/>
        <v>88.6522225150452</v>
      </c>
      <c r="U349">
        <f t="shared" si="242"/>
        <v>9.578656742504488E-05</v>
      </c>
      <c r="V349">
        <f>+'Material Properties'!AE$31+'Material Properties'!AE$33</f>
        <v>0.00029034311030761144</v>
      </c>
      <c r="W349">
        <f t="shared" si="228"/>
        <v>0.0003861296777326563</v>
      </c>
      <c r="X349" s="1">
        <f>+'Volcano Summary'!E$12*10^9/Q349/3600/24/365</f>
        <v>0</v>
      </c>
      <c r="Y349" s="3">
        <f t="shared" si="229"/>
        <v>100</v>
      </c>
      <c r="Z349" s="1">
        <f>+Y349*'Volcano Summary'!B$19*'Volcano Summary'!B$20/1000</f>
        <v>4050000</v>
      </c>
      <c r="AA349" s="1">
        <f t="shared" si="243"/>
        <v>874550.1515404255</v>
      </c>
      <c r="AB349" s="3">
        <f t="shared" si="223"/>
        <v>242.9305976501182</v>
      </c>
      <c r="AC349" s="1">
        <f t="shared" si="230"/>
        <v>635107118.8916764</v>
      </c>
      <c r="AD349" s="36">
        <f t="shared" si="231"/>
        <v>176418.64413657683</v>
      </c>
      <c r="AE349" s="36">
        <f t="shared" si="221"/>
        <v>7350.776839024034</v>
      </c>
      <c r="AG349" s="1">
        <f t="shared" si="244"/>
        <v>4050000000</v>
      </c>
      <c r="AH349" s="1">
        <f t="shared" si="232"/>
        <v>4050000</v>
      </c>
      <c r="AI349" s="1">
        <f t="shared" si="233"/>
        <v>4054050000</v>
      </c>
      <c r="AJ349" s="1">
        <f t="shared" si="234"/>
        <v>336290137438.24036</v>
      </c>
      <c r="AK349" s="1">
        <f t="shared" si="235"/>
        <v>336626427575.6786</v>
      </c>
      <c r="AL349" s="39">
        <f>+AJ349/('Volcano Summary'!C$8)*10^6</f>
        <v>23346.22919251863</v>
      </c>
      <c r="AM349" s="1">
        <f t="shared" si="245"/>
        <v>7350.776839024034</v>
      </c>
    </row>
    <row r="350" spans="1:39" ht="12.75" hidden="1">
      <c r="A350" s="1">
        <f t="shared" si="226"/>
        <v>874550.1515404255</v>
      </c>
      <c r="B350" s="1">
        <f t="shared" si="227"/>
        <v>7360.759893821938</v>
      </c>
      <c r="C350" s="1">
        <f t="shared" si="237"/>
        <v>8500</v>
      </c>
      <c r="D350" s="1">
        <f t="shared" si="246"/>
        <v>104.03141895720198</v>
      </c>
      <c r="E350" s="38">
        <f t="shared" si="238"/>
        <v>1098340529.6577756</v>
      </c>
      <c r="F350" s="38">
        <f t="shared" si="239"/>
        <v>706175883.5289228</v>
      </c>
      <c r="G350" s="38">
        <f t="shared" si="240"/>
        <v>314011237.4000701</v>
      </c>
      <c r="H350" s="18">
        <f t="shared" si="247"/>
        <v>0.004806240316742171</v>
      </c>
      <c r="I350" s="50">
        <f t="shared" si="255"/>
        <v>0.029801394508386047</v>
      </c>
      <c r="J350" s="3">
        <f t="shared" si="248"/>
        <v>15.823266378134377</v>
      </c>
      <c r="K350" s="12">
        <f t="shared" si="257"/>
        <v>0.938111860318956</v>
      </c>
      <c r="L350" s="3">
        <f t="shared" si="249"/>
        <v>1482.2911719189544</v>
      </c>
      <c r="M350" s="12">
        <f t="shared" si="256"/>
        <v>0.7618512314578729</v>
      </c>
      <c r="N350" s="37">
        <f t="shared" si="250"/>
        <v>12023.837640706512</v>
      </c>
      <c r="O350" s="1">
        <f t="shared" si="241"/>
        <v>152499.85996618972</v>
      </c>
      <c r="P350">
        <f t="shared" si="251"/>
        <v>390.51230450037</v>
      </c>
      <c r="Q350" s="1">
        <f t="shared" si="252"/>
        <v>4695.456546010592</v>
      </c>
      <c r="R350" s="1">
        <f>+Q350*1000/'Material Properties'!AE$35</f>
        <v>4026759.7352066226</v>
      </c>
      <c r="S350" s="1">
        <f t="shared" si="253"/>
        <v>473.7364394360732</v>
      </c>
      <c r="T350" s="1">
        <f t="shared" si="254"/>
        <v>91.73624309569868</v>
      </c>
      <c r="U350">
        <f t="shared" si="242"/>
        <v>9.259766710463986E-05</v>
      </c>
      <c r="V350">
        <f>+'Material Properties'!AE$31+'Material Properties'!AE$33</f>
        <v>0.00029034311030761144</v>
      </c>
      <c r="W350">
        <f t="shared" si="228"/>
        <v>0.0003829407774122513</v>
      </c>
      <c r="X350" s="1">
        <f>+'Volcano Summary'!E$12*10^9/Q350/3600/24/365</f>
        <v>0</v>
      </c>
      <c r="Y350" s="3">
        <f t="shared" si="229"/>
        <v>100</v>
      </c>
      <c r="Z350" s="1">
        <f>+Y350*'Volcano Summary'!B$19*'Volcano Summary'!B$20/1000</f>
        <v>4050000</v>
      </c>
      <c r="AA350" s="1">
        <f t="shared" si="243"/>
        <v>862535.9345388911</v>
      </c>
      <c r="AB350" s="3">
        <f t="shared" si="223"/>
        <v>239.59331514969196</v>
      </c>
      <c r="AC350" s="1">
        <f t="shared" si="230"/>
        <v>635969654.8262153</v>
      </c>
      <c r="AD350" s="36">
        <f t="shared" si="231"/>
        <v>176658.2374517265</v>
      </c>
      <c r="AE350" s="36">
        <f t="shared" si="221"/>
        <v>7360.759893821938</v>
      </c>
      <c r="AG350" s="1">
        <f t="shared" si="244"/>
        <v>4050000000</v>
      </c>
      <c r="AH350" s="1">
        <f t="shared" si="232"/>
        <v>4050000</v>
      </c>
      <c r="AI350" s="1">
        <f t="shared" si="233"/>
        <v>4054050000</v>
      </c>
      <c r="AJ350" s="1">
        <f t="shared" si="234"/>
        <v>340340137438.24036</v>
      </c>
      <c r="AK350" s="1">
        <f t="shared" si="235"/>
        <v>340680477575.6786</v>
      </c>
      <c r="AL350" s="39">
        <f>+AJ350/('Volcano Summary'!C$8)*10^6</f>
        <v>23627.39184852148</v>
      </c>
      <c r="AM350" s="1">
        <f t="shared" si="245"/>
        <v>7360.759893821938</v>
      </c>
    </row>
    <row r="351" spans="1:39" ht="12.75" hidden="1">
      <c r="A351" s="1">
        <f t="shared" si="226"/>
        <v>862535.9345388911</v>
      </c>
      <c r="B351" s="1">
        <f t="shared" si="227"/>
        <v>7370.607369159346</v>
      </c>
      <c r="C351" s="1">
        <f t="shared" si="237"/>
        <v>8600</v>
      </c>
      <c r="D351" s="1">
        <f t="shared" si="246"/>
        <v>104.64157913908983</v>
      </c>
      <c r="E351" s="38">
        <f t="shared" si="238"/>
        <v>1104782464.835325</v>
      </c>
      <c r="F351" s="38">
        <f t="shared" si="239"/>
        <v>710317713.0825125</v>
      </c>
      <c r="G351" s="38">
        <f t="shared" si="240"/>
        <v>315852961.3297002</v>
      </c>
      <c r="H351" s="18">
        <f t="shared" si="247"/>
        <v>0.004778215352956389</v>
      </c>
      <c r="I351" s="50">
        <f t="shared" si="255"/>
        <v>0.02976878048930627</v>
      </c>
      <c r="J351" s="3">
        <f t="shared" si="248"/>
        <v>15.724164397279184</v>
      </c>
      <c r="K351" s="12">
        <f t="shared" si="257"/>
        <v>0.9359316167401417</v>
      </c>
      <c r="L351" s="3">
        <f t="shared" si="249"/>
        <v>1478.8462140773483</v>
      </c>
      <c r="M351" s="12">
        <f t="shared" si="256"/>
        <v>0.7612070685823141</v>
      </c>
      <c r="N351" s="37">
        <f t="shared" si="250"/>
        <v>12165.294554126585</v>
      </c>
      <c r="O351" s="1">
        <f t="shared" si="241"/>
        <v>153104.33948339723</v>
      </c>
      <c r="P351">
        <f t="shared" si="251"/>
        <v>391.2854961321685</v>
      </c>
      <c r="Q351" s="1">
        <f t="shared" si="252"/>
        <v>4760.103315205388</v>
      </c>
      <c r="R351" s="1">
        <f>+Q351*1000/'Material Properties'!AE$35</f>
        <v>4082199.926091995</v>
      </c>
      <c r="S351" s="1">
        <f t="shared" si="253"/>
        <v>474.6744100106971</v>
      </c>
      <c r="T351" s="1">
        <f t="shared" si="254"/>
        <v>94.74728602589812</v>
      </c>
      <c r="U351">
        <f t="shared" si="242"/>
        <v>8.968262829409909E-05</v>
      </c>
      <c r="V351">
        <f>+'Material Properties'!AE$31+'Material Properties'!AE$33</f>
        <v>0.00029034311030761144</v>
      </c>
      <c r="W351">
        <f t="shared" si="228"/>
        <v>0.00038002573860171054</v>
      </c>
      <c r="X351" s="1">
        <f>+'Volcano Summary'!E$12*10^9/Q351/3600/24/365</f>
        <v>0</v>
      </c>
      <c r="Y351" s="3">
        <f t="shared" si="229"/>
        <v>100</v>
      </c>
      <c r="Z351" s="1">
        <f>+Y351*'Volcano Summary'!B$19*'Volcano Summary'!B$20/1000</f>
        <v>4050000</v>
      </c>
      <c r="AA351" s="1">
        <f t="shared" si="243"/>
        <v>850821.8691520672</v>
      </c>
      <c r="AB351" s="3">
        <f t="shared" si="223"/>
        <v>236.33940809779645</v>
      </c>
      <c r="AC351" s="1">
        <f t="shared" si="230"/>
        <v>636820476.6953673</v>
      </c>
      <c r="AD351" s="36">
        <f t="shared" si="231"/>
        <v>176894.5768598243</v>
      </c>
      <c r="AE351" s="36">
        <f t="shared" si="221"/>
        <v>7370.607369159346</v>
      </c>
      <c r="AG351" s="1">
        <f t="shared" si="244"/>
        <v>4050000000</v>
      </c>
      <c r="AH351" s="1">
        <f t="shared" si="232"/>
        <v>4050000</v>
      </c>
      <c r="AI351" s="1">
        <f t="shared" si="233"/>
        <v>4054050000</v>
      </c>
      <c r="AJ351" s="1">
        <f t="shared" si="234"/>
        <v>344390137438.24036</v>
      </c>
      <c r="AK351" s="1">
        <f t="shared" si="235"/>
        <v>344734527575.6786</v>
      </c>
      <c r="AL351" s="39">
        <f>+AJ351/('Volcano Summary'!C$8)*10^6</f>
        <v>23908.554504524338</v>
      </c>
      <c r="AM351" s="1">
        <f t="shared" si="245"/>
        <v>7370.607369159346</v>
      </c>
    </row>
    <row r="352" spans="1:39" ht="12.75" hidden="1">
      <c r="A352" s="1">
        <f t="shared" si="226"/>
        <v>850821.8691520672</v>
      </c>
      <c r="B352" s="1">
        <f t="shared" si="227"/>
        <v>7380.322613957912</v>
      </c>
      <c r="C352" s="1">
        <f t="shared" si="237"/>
        <v>8700</v>
      </c>
      <c r="D352" s="1">
        <f t="shared" si="246"/>
        <v>105.24820207108488</v>
      </c>
      <c r="E352" s="38">
        <f t="shared" si="238"/>
        <v>1111187054.5170643</v>
      </c>
      <c r="F352" s="38">
        <f t="shared" si="239"/>
        <v>714435531.4230155</v>
      </c>
      <c r="G352" s="38">
        <f t="shared" si="240"/>
        <v>317684008.32896674</v>
      </c>
      <c r="H352" s="18">
        <f t="shared" si="247"/>
        <v>0.004750674977443309</v>
      </c>
      <c r="I352" s="50">
        <f t="shared" si="255"/>
        <v>0.029736613594614124</v>
      </c>
      <c r="J352" s="3">
        <f t="shared" si="248"/>
        <v>15.626898611783385</v>
      </c>
      <c r="K352" s="12">
        <f t="shared" si="257"/>
        <v>0.9337917694592341</v>
      </c>
      <c r="L352" s="3">
        <f t="shared" si="249"/>
        <v>1475.4650855915988</v>
      </c>
      <c r="M352" s="12">
        <f t="shared" si="256"/>
        <v>0.7605748409765914</v>
      </c>
      <c r="N352" s="37">
        <f t="shared" si="250"/>
        <v>12306.751467546663</v>
      </c>
      <c r="O352" s="1">
        <f t="shared" si="241"/>
        <v>153705.0741539789</v>
      </c>
      <c r="P352">
        <f t="shared" si="251"/>
        <v>392.0523870020165</v>
      </c>
      <c r="Q352" s="1">
        <f t="shared" si="252"/>
        <v>4824.891289092238</v>
      </c>
      <c r="R352" s="1">
        <f>+Q352*1000/'Material Properties'!AE$35</f>
        <v>4137761.2122026808</v>
      </c>
      <c r="S352" s="1">
        <f t="shared" si="253"/>
        <v>475.6047370347909</v>
      </c>
      <c r="T352" s="1">
        <f t="shared" si="254"/>
        <v>97.68793254169941</v>
      </c>
      <c r="U352">
        <f t="shared" si="242"/>
        <v>8.700760609186965E-05</v>
      </c>
      <c r="V352">
        <f>+'Material Properties'!AE$31+'Material Properties'!AE$33</f>
        <v>0.00029034311030761144</v>
      </c>
      <c r="W352">
        <f t="shared" si="228"/>
        <v>0.0003773507163994811</v>
      </c>
      <c r="X352" s="1">
        <f>+'Volcano Summary'!E$12*10^9/Q352/3600/24/365</f>
        <v>0</v>
      </c>
      <c r="Y352" s="3">
        <f t="shared" si="229"/>
        <v>100</v>
      </c>
      <c r="Z352" s="1">
        <f>+Y352*'Volcano Summary'!B$19*'Volcano Summary'!B$20/1000</f>
        <v>4050000</v>
      </c>
      <c r="AA352" s="1">
        <f t="shared" si="243"/>
        <v>839397.1505961065</v>
      </c>
      <c r="AB352" s="3">
        <f t="shared" si="223"/>
        <v>233.16587516558516</v>
      </c>
      <c r="AC352" s="1">
        <f t="shared" si="230"/>
        <v>637659873.8459635</v>
      </c>
      <c r="AD352" s="36">
        <f t="shared" si="231"/>
        <v>177127.74273498988</v>
      </c>
      <c r="AE352" s="36">
        <f t="shared" si="221"/>
        <v>7380.322613957912</v>
      </c>
      <c r="AG352" s="1">
        <f t="shared" si="244"/>
        <v>4050000000</v>
      </c>
      <c r="AH352" s="1">
        <f t="shared" si="232"/>
        <v>4050000</v>
      </c>
      <c r="AI352" s="1">
        <f t="shared" si="233"/>
        <v>4054050000</v>
      </c>
      <c r="AJ352" s="1">
        <f t="shared" si="234"/>
        <v>348440137438.24036</v>
      </c>
      <c r="AK352" s="1">
        <f t="shared" si="235"/>
        <v>348788577575.6786</v>
      </c>
      <c r="AL352" s="39">
        <f>+AJ352/('Volcano Summary'!C$8)*10^6</f>
        <v>24189.71716052719</v>
      </c>
      <c r="AM352" s="1">
        <f t="shared" si="245"/>
        <v>7380.322613957912</v>
      </c>
    </row>
    <row r="353" spans="1:39" ht="12.75" hidden="1">
      <c r="A353" s="1">
        <f t="shared" si="226"/>
        <v>839397.1505961065</v>
      </c>
      <c r="B353" s="1">
        <f t="shared" si="227"/>
        <v>7389.908857936784</v>
      </c>
      <c r="C353" s="1">
        <f t="shared" si="237"/>
        <v>8800</v>
      </c>
      <c r="D353" s="1">
        <f t="shared" si="246"/>
        <v>105.85134856802455</v>
      </c>
      <c r="E353" s="38">
        <f t="shared" si="238"/>
        <v>1117554940.7724895</v>
      </c>
      <c r="F353" s="38">
        <f t="shared" si="239"/>
        <v>718529751.3677512</v>
      </c>
      <c r="G353" s="38">
        <f t="shared" si="240"/>
        <v>319504561.9630132</v>
      </c>
      <c r="H353" s="18">
        <f t="shared" si="247"/>
        <v>0.004723605384003954</v>
      </c>
      <c r="I353" s="50">
        <f t="shared" si="255"/>
        <v>0.029704882585909642</v>
      </c>
      <c r="J353" s="3">
        <f t="shared" si="248"/>
        <v>15.531414331400807</v>
      </c>
      <c r="K353" s="12">
        <f t="shared" si="257"/>
        <v>0.9316911152908174</v>
      </c>
      <c r="L353" s="3">
        <f t="shared" si="249"/>
        <v>1472.145885333284</v>
      </c>
      <c r="M353" s="12">
        <f t="shared" si="256"/>
        <v>0.7599541931541047</v>
      </c>
      <c r="N353" s="37">
        <f t="shared" si="250"/>
        <v>12448.208380966742</v>
      </c>
      <c r="O353" s="1">
        <f t="shared" si="241"/>
        <v>154302.1246295262</v>
      </c>
      <c r="P353">
        <f t="shared" si="251"/>
        <v>392.81309121454467</v>
      </c>
      <c r="Q353" s="1">
        <f t="shared" si="252"/>
        <v>4889.819214210348</v>
      </c>
      <c r="R353" s="1">
        <f>+Q353*1000/'Material Properties'!AE$35</f>
        <v>4193442.5185877336</v>
      </c>
      <c r="S353" s="1">
        <f t="shared" si="253"/>
        <v>476.5275589304243</v>
      </c>
      <c r="T353" s="1">
        <f t="shared" si="254"/>
        <v>100.56064355632884</v>
      </c>
      <c r="U353">
        <f t="shared" si="242"/>
        <v>8.454411187760432E-05</v>
      </c>
      <c r="V353">
        <f>+'Material Properties'!AE$31+'Material Properties'!AE$33</f>
        <v>0.00029034311030761144</v>
      </c>
      <c r="W353">
        <f t="shared" si="228"/>
        <v>0.00037488722218521577</v>
      </c>
      <c r="X353" s="1">
        <f>+'Volcano Summary'!E$12*10^9/Q353/3600/24/365</f>
        <v>0</v>
      </c>
      <c r="Y353" s="3">
        <f t="shared" si="229"/>
        <v>100</v>
      </c>
      <c r="Z353" s="1">
        <f>+Y353*'Volcano Summary'!B$19*'Volcano Summary'!B$20/1000</f>
        <v>4050000</v>
      </c>
      <c r="AA353" s="1">
        <f t="shared" si="243"/>
        <v>828251.4797746015</v>
      </c>
      <c r="AB353" s="3">
        <f t="shared" si="223"/>
        <v>230.06985549294487</v>
      </c>
      <c r="AC353" s="1">
        <f t="shared" si="230"/>
        <v>638488125.3257381</v>
      </c>
      <c r="AD353" s="36">
        <f t="shared" si="231"/>
        <v>177357.81259048282</v>
      </c>
      <c r="AE353" s="36">
        <f t="shared" si="221"/>
        <v>7389.908857936784</v>
      </c>
      <c r="AG353" s="1">
        <f t="shared" si="244"/>
        <v>4050000000</v>
      </c>
      <c r="AH353" s="1">
        <f t="shared" si="232"/>
        <v>4050000</v>
      </c>
      <c r="AI353" s="1">
        <f t="shared" si="233"/>
        <v>4054050000</v>
      </c>
      <c r="AJ353" s="1">
        <f t="shared" si="234"/>
        <v>352490137438.24036</v>
      </c>
      <c r="AK353" s="1">
        <f t="shared" si="235"/>
        <v>352842627575.6786</v>
      </c>
      <c r="AL353" s="39">
        <f>+AJ353/('Volcano Summary'!C$8)*10^6</f>
        <v>24470.879816530043</v>
      </c>
      <c r="AM353" s="1">
        <f t="shared" si="245"/>
        <v>7389.908857936784</v>
      </c>
    </row>
    <row r="354" spans="1:39" ht="12.75" hidden="1">
      <c r="A354" s="1">
        <f t="shared" si="226"/>
        <v>828251.4797746015</v>
      </c>
      <c r="B354" s="1">
        <f t="shared" si="227"/>
        <v>7399.369217129556</v>
      </c>
      <c r="C354" s="1">
        <f t="shared" si="237"/>
        <v>8900</v>
      </c>
      <c r="D354" s="1">
        <f t="shared" si="246"/>
        <v>106.45107772184811</v>
      </c>
      <c r="E354" s="38">
        <f t="shared" si="238"/>
        <v>1123886747.4811223</v>
      </c>
      <c r="F354" s="38">
        <f t="shared" si="239"/>
        <v>722600774.0388315</v>
      </c>
      <c r="G354" s="38">
        <f t="shared" si="240"/>
        <v>321314800.59654087</v>
      </c>
      <c r="H354" s="18">
        <f t="shared" si="247"/>
        <v>0.00469699331092239</v>
      </c>
      <c r="I354" s="50">
        <f t="shared" si="255"/>
        <v>0.02967357663204747</v>
      </c>
      <c r="J354" s="3">
        <f t="shared" si="248"/>
        <v>15.43765909518699</v>
      </c>
      <c r="K354" s="12">
        <f t="shared" si="257"/>
        <v>0.9296285000941135</v>
      </c>
      <c r="L354" s="3">
        <f t="shared" si="249"/>
        <v>1468.8867896684017</v>
      </c>
      <c r="M354" s="12">
        <f t="shared" si="256"/>
        <v>0.7593447841187149</v>
      </c>
      <c r="N354" s="37">
        <f t="shared" si="250"/>
        <v>12589.665294386814</v>
      </c>
      <c r="O354" s="1">
        <f t="shared" si="241"/>
        <v>154895.5499181263</v>
      </c>
      <c r="P354">
        <f t="shared" si="251"/>
        <v>393.5677196088702</v>
      </c>
      <c r="Q354" s="1">
        <f t="shared" si="252"/>
        <v>4954.885860550754</v>
      </c>
      <c r="R354" s="1">
        <f>+Q354*1000/'Material Properties'!AE$35</f>
        <v>4249242.790408177</v>
      </c>
      <c r="S354" s="1">
        <f t="shared" si="253"/>
        <v>477.4430101582222</v>
      </c>
      <c r="T354" s="1">
        <f t="shared" si="254"/>
        <v>103.36776658090798</v>
      </c>
      <c r="U354">
        <f t="shared" si="242"/>
        <v>8.226799404343107E-05</v>
      </c>
      <c r="V354">
        <f>+'Material Properties'!AE$31+'Material Properties'!AE$33</f>
        <v>0.00029034311030761144</v>
      </c>
      <c r="W354">
        <f t="shared" si="228"/>
        <v>0.0003726111043510425</v>
      </c>
      <c r="X354" s="1">
        <f>+'Volcano Summary'!E$12*10^9/Q354/3600/24/365</f>
        <v>0</v>
      </c>
      <c r="Y354" s="3">
        <f t="shared" si="229"/>
        <v>100</v>
      </c>
      <c r="Z354" s="1">
        <f>+Y354*'Volcano Summary'!B$19*'Volcano Summary'!B$20/1000</f>
        <v>4050000</v>
      </c>
      <c r="AA354" s="1">
        <f t="shared" si="243"/>
        <v>817375.0342555473</v>
      </c>
      <c r="AB354" s="3">
        <f t="shared" si="223"/>
        <v>227.04862062654092</v>
      </c>
      <c r="AC354" s="1">
        <f t="shared" si="230"/>
        <v>639305500.3599936</v>
      </c>
      <c r="AD354" s="36">
        <f t="shared" si="231"/>
        <v>177584.86121110935</v>
      </c>
      <c r="AE354" s="36">
        <f t="shared" si="221"/>
        <v>7399.369217129556</v>
      </c>
      <c r="AG354" s="1">
        <f t="shared" si="244"/>
        <v>4049999999.9999995</v>
      </c>
      <c r="AH354" s="1">
        <f t="shared" si="232"/>
        <v>4050000</v>
      </c>
      <c r="AI354" s="1">
        <f t="shared" si="233"/>
        <v>4054049999.9999995</v>
      </c>
      <c r="AJ354" s="1">
        <f t="shared" si="234"/>
        <v>356540137438.24036</v>
      </c>
      <c r="AK354" s="1">
        <f t="shared" si="235"/>
        <v>356896677575.6786</v>
      </c>
      <c r="AL354" s="39">
        <f>+AJ354/('Volcano Summary'!C$8)*10^6</f>
        <v>24752.042472532896</v>
      </c>
      <c r="AM354" s="1">
        <f t="shared" si="245"/>
        <v>7399.369217129556</v>
      </c>
    </row>
    <row r="355" spans="1:39" ht="12.75" hidden="1">
      <c r="A355" s="1">
        <f aca="true" t="shared" si="258" ref="A355:A419">+AA354</f>
        <v>817375.0342555473</v>
      </c>
      <c r="B355" s="1">
        <f aca="true" t="shared" si="259" ref="B355:B419">+AE355</f>
        <v>7408.706699088066</v>
      </c>
      <c r="C355" s="1">
        <f t="shared" si="237"/>
        <v>9000</v>
      </c>
      <c r="D355" s="1">
        <f t="shared" si="246"/>
        <v>107.04744696916627</v>
      </c>
      <c r="E355" s="38">
        <f t="shared" si="238"/>
        <v>1130183081.0458937</v>
      </c>
      <c r="F355" s="38">
        <f t="shared" si="239"/>
        <v>726648989.3218281</v>
      </c>
      <c r="G355" s="38">
        <f t="shared" si="240"/>
        <v>323114897.5977628</v>
      </c>
      <c r="H355" s="18">
        <f t="shared" si="247"/>
        <v>0.00467082601366494</v>
      </c>
      <c r="I355" s="50">
        <f t="shared" si="255"/>
        <v>0.029642685289968825</v>
      </c>
      <c r="J355" s="3">
        <f t="shared" si="248"/>
        <v>15.345582556726946</v>
      </c>
      <c r="K355" s="12">
        <f t="shared" si="257"/>
        <v>0.9276028162479925</v>
      </c>
      <c r="L355" s="3">
        <f t="shared" si="249"/>
        <v>1465.686048467685</v>
      </c>
      <c r="M355" s="12">
        <f t="shared" si="256"/>
        <v>0.7587462866187247</v>
      </c>
      <c r="N355" s="37">
        <f t="shared" si="250"/>
        <v>12731.122207806893</v>
      </c>
      <c r="O355" s="1">
        <f t="shared" si="241"/>
        <v>155485.40744670812</v>
      </c>
      <c r="P355">
        <f t="shared" si="251"/>
        <v>394.3163798863904</v>
      </c>
      <c r="Q355" s="1">
        <f t="shared" si="252"/>
        <v>5020.090020873645</v>
      </c>
      <c r="R355" s="1">
        <f>+Q355*1000/'Material Properties'!AE$35</f>
        <v>4305160.992351555</v>
      </c>
      <c r="S355" s="1">
        <f t="shared" si="253"/>
        <v>478.351221372395</v>
      </c>
      <c r="T355" s="1">
        <f t="shared" si="254"/>
        <v>106.1115421736688</v>
      </c>
      <c r="U355">
        <f t="shared" si="242"/>
        <v>8.015864294413161E-05</v>
      </c>
      <c r="V355">
        <f>+'Material Properties'!AE$31+'Material Properties'!AE$33</f>
        <v>0.00029034311030761144</v>
      </c>
      <c r="W355">
        <f aca="true" t="shared" si="260" ref="W355:W419">+V355+U355</f>
        <v>0.00037050175325174307</v>
      </c>
      <c r="X355" s="1">
        <f>+'Volcano Summary'!E$12*10^9/Q355/3600/24/365</f>
        <v>0</v>
      </c>
      <c r="Y355" s="3">
        <f aca="true" t="shared" si="261" ref="Y355:Y419">+C356-C355</f>
        <v>100</v>
      </c>
      <c r="Z355" s="1">
        <f>+Y355*'Volcano Summary'!B$19*'Volcano Summary'!B$20/1000</f>
        <v>4050000</v>
      </c>
      <c r="AA355" s="1">
        <f t="shared" si="243"/>
        <v>806758.4412151995</v>
      </c>
      <c r="AB355" s="3">
        <f t="shared" si="223"/>
        <v>224.09956700422208</v>
      </c>
      <c r="AC355" s="1">
        <f aca="true" t="shared" si="262" ref="AC355:AC419">+AC354+AA355</f>
        <v>640112258.8012087</v>
      </c>
      <c r="AD355" s="36">
        <f aca="true" t="shared" si="263" ref="AD355:AD419">+AD354+AB355</f>
        <v>177808.96077811357</v>
      </c>
      <c r="AE355" s="36">
        <f t="shared" si="221"/>
        <v>7408.706699088066</v>
      </c>
      <c r="AG355" s="1">
        <f t="shared" si="244"/>
        <v>4050000000</v>
      </c>
      <c r="AH355" s="1">
        <f aca="true" t="shared" si="264" ref="AH355:AH419">+Z355</f>
        <v>4050000</v>
      </c>
      <c r="AI355" s="1">
        <f aca="true" t="shared" si="265" ref="AI355:AI419">+AH355+AG355</f>
        <v>4054050000</v>
      </c>
      <c r="AJ355" s="1">
        <f aca="true" t="shared" si="266" ref="AJ355:AJ419">+AJ354+AG355</f>
        <v>360590137438.24036</v>
      </c>
      <c r="AK355" s="1">
        <f aca="true" t="shared" si="267" ref="AK355:AK419">+AK354+AI355</f>
        <v>360950727575.6786</v>
      </c>
      <c r="AL355" s="39">
        <f>+AJ355/('Volcano Summary'!C$8)*10^6</f>
        <v>25033.205128535752</v>
      </c>
      <c r="AM355" s="1">
        <f t="shared" si="245"/>
        <v>7408.706699088066</v>
      </c>
    </row>
    <row r="356" spans="1:39" ht="12.75" hidden="1">
      <c r="A356" s="1">
        <f t="shared" si="258"/>
        <v>806758.4412151995</v>
      </c>
      <c r="B356" s="1">
        <f t="shared" si="259"/>
        <v>7417.924207794033</v>
      </c>
      <c r="C356" s="1">
        <f t="shared" si="237"/>
        <v>9100</v>
      </c>
      <c r="D356" s="1">
        <f t="shared" si="246"/>
        <v>107.64051215546115</v>
      </c>
      <c r="E356" s="38">
        <f t="shared" si="238"/>
        <v>1136444531.0709546</v>
      </c>
      <c r="F356" s="38">
        <f t="shared" si="239"/>
        <v>730674776.3015707</v>
      </c>
      <c r="G356" s="38">
        <f t="shared" si="240"/>
        <v>324905021.5321866</v>
      </c>
      <c r="H356" s="18">
        <f t="shared" si="247"/>
        <v>0.00464509123923406</v>
      </c>
      <c r="I356" s="50">
        <f t="shared" si="255"/>
        <v>0.02961219848663838</v>
      </c>
      <c r="J356" s="3">
        <f t="shared" si="248"/>
        <v>15.255136376474406</v>
      </c>
      <c r="K356" s="12">
        <f t="shared" si="257"/>
        <v>0.9256130002824365</v>
      </c>
      <c r="L356" s="3">
        <f t="shared" si="249"/>
        <v>1462.5419813641263</v>
      </c>
      <c r="M356" s="12">
        <f t="shared" si="256"/>
        <v>0.7581583864470831</v>
      </c>
      <c r="N356" s="37">
        <f t="shared" si="250"/>
        <v>12872.579121226969</v>
      </c>
      <c r="O356" s="1">
        <f t="shared" si="241"/>
        <v>156071.7531203599</v>
      </c>
      <c r="P356">
        <f t="shared" si="251"/>
        <v>395.05917673224593</v>
      </c>
      <c r="Q356" s="1">
        <f t="shared" si="252"/>
        <v>5085.430510052624</v>
      </c>
      <c r="R356" s="1">
        <f>+Q356*1000/'Material Properties'!AE$35</f>
        <v>4361196.108069571</v>
      </c>
      <c r="S356" s="1">
        <f t="shared" si="253"/>
        <v>479.2523195680847</v>
      </c>
      <c r="T356" s="1">
        <f t="shared" si="254"/>
        <v>108.79410995465787</v>
      </c>
      <c r="U356">
        <f t="shared" si="242"/>
        <v>7.819836455709134E-05</v>
      </c>
      <c r="V356">
        <f>+'Material Properties'!AE$31+'Material Properties'!AE$33</f>
        <v>0.00029034311030761144</v>
      </c>
      <c r="W356">
        <f t="shared" si="260"/>
        <v>0.0003685414748647028</v>
      </c>
      <c r="X356" s="1">
        <f>+'Volcano Summary'!E$12*10^9/Q356/3600/24/365</f>
        <v>0</v>
      </c>
      <c r="Y356" s="3">
        <f t="shared" si="261"/>
        <v>100</v>
      </c>
      <c r="Z356" s="1">
        <f>+Y356*'Volcano Summary'!B$19*'Volcano Summary'!B$20/1000</f>
        <v>4050000</v>
      </c>
      <c r="AA356" s="1">
        <f t="shared" si="243"/>
        <v>796392.7521955442</v>
      </c>
      <c r="AB356" s="3">
        <f t="shared" si="223"/>
        <v>221.22020894320673</v>
      </c>
      <c r="AC356" s="1">
        <f t="shared" si="262"/>
        <v>640908651.5534043</v>
      </c>
      <c r="AD356" s="36">
        <f t="shared" si="263"/>
        <v>178030.18098705678</v>
      </c>
      <c r="AE356" s="36">
        <f t="shared" si="221"/>
        <v>7417.924207794033</v>
      </c>
      <c r="AG356" s="1">
        <f t="shared" si="244"/>
        <v>4049999999.9999995</v>
      </c>
      <c r="AH356" s="1">
        <f t="shared" si="264"/>
        <v>4050000</v>
      </c>
      <c r="AI356" s="1">
        <f t="shared" si="265"/>
        <v>4054049999.9999995</v>
      </c>
      <c r="AJ356" s="1">
        <f t="shared" si="266"/>
        <v>364640137438.24036</v>
      </c>
      <c r="AK356" s="1">
        <f t="shared" si="267"/>
        <v>365004777575.6786</v>
      </c>
      <c r="AL356" s="39">
        <f>+AJ356/('Volcano Summary'!C$8)*10^6</f>
        <v>25314.367784538605</v>
      </c>
      <c r="AM356" s="1">
        <f t="shared" si="245"/>
        <v>7417.924207794033</v>
      </c>
    </row>
    <row r="357" spans="1:39" ht="12.75" hidden="1">
      <c r="A357" s="1">
        <f t="shared" si="258"/>
        <v>796392.7521955442</v>
      </c>
      <c r="B357" s="1">
        <f t="shared" si="259"/>
        <v>7427.024548297916</v>
      </c>
      <c r="C357" s="1">
        <f t="shared" si="237"/>
        <v>9200</v>
      </c>
      <c r="D357" s="1">
        <f t="shared" si="246"/>
        <v>108.2303275961202</v>
      </c>
      <c r="E357" s="38">
        <f t="shared" si="238"/>
        <v>1142671671.0060575</v>
      </c>
      <c r="F357" s="38">
        <f t="shared" si="239"/>
        <v>734678503.6764492</v>
      </c>
      <c r="G357" s="38">
        <f t="shared" si="240"/>
        <v>326685336.3468409</v>
      </c>
      <c r="H357" s="18">
        <f t="shared" si="247"/>
        <v>0.0046197772020596176</v>
      </c>
      <c r="I357" s="50">
        <f t="shared" si="255"/>
        <v>0.029582106502010867</v>
      </c>
      <c r="J357" s="3">
        <f t="shared" si="248"/>
        <v>15.166274120688938</v>
      </c>
      <c r="K357" s="12">
        <f t="shared" si="257"/>
        <v>0.9236580306551563</v>
      </c>
      <c r="L357" s="3">
        <f t="shared" si="249"/>
        <v>1459.4529742398565</v>
      </c>
      <c r="M357" s="12">
        <f t="shared" si="256"/>
        <v>0.7575807817844776</v>
      </c>
      <c r="N357" s="37">
        <f t="shared" si="250"/>
        <v>13014.036034647046</v>
      </c>
      <c r="O357" s="1">
        <f t="shared" si="241"/>
        <v>156654.6413787979</v>
      </c>
      <c r="P357">
        <f t="shared" si="251"/>
        <v>395.7962119308343</v>
      </c>
      <c r="Q357" s="1">
        <f t="shared" si="252"/>
        <v>5150.9061644446765</v>
      </c>
      <c r="R357" s="1">
        <f>+Q357*1000/'Material Properties'!AE$35</f>
        <v>4417347.139637786</v>
      </c>
      <c r="S357" s="1">
        <f t="shared" si="253"/>
        <v>480.14642822149847</v>
      </c>
      <c r="T357" s="1">
        <f t="shared" si="254"/>
        <v>111.41751421966</v>
      </c>
      <c r="U357">
        <f t="shared" si="242"/>
        <v>7.637188251178842E-05</v>
      </c>
      <c r="V357">
        <f>+'Material Properties'!AE$31+'Material Properties'!AE$33</f>
        <v>0.00029034311030761144</v>
      </c>
      <c r="W357">
        <f t="shared" si="260"/>
        <v>0.00036671499281939985</v>
      </c>
      <c r="X357" s="1">
        <f>+'Volcano Summary'!E$12*10^9/Q357/3600/24/365</f>
        <v>0</v>
      </c>
      <c r="Y357" s="3">
        <f t="shared" si="261"/>
        <v>100</v>
      </c>
      <c r="Z357" s="1">
        <f>+Y357*'Volcano Summary'!B$19*'Volcano Summary'!B$20/1000</f>
        <v>4050000</v>
      </c>
      <c r="AA357" s="1">
        <f t="shared" si="243"/>
        <v>786269.4195355496</v>
      </c>
      <c r="AB357" s="3">
        <f t="shared" si="223"/>
        <v>218.4081720932082</v>
      </c>
      <c r="AC357" s="1">
        <f t="shared" si="262"/>
        <v>641694920.9729398</v>
      </c>
      <c r="AD357" s="36">
        <f t="shared" si="263"/>
        <v>178248.58915915</v>
      </c>
      <c r="AE357" s="36">
        <f aca="true" t="shared" si="268" ref="AE357:AE421">+AD357/24</f>
        <v>7427.024548297916</v>
      </c>
      <c r="AG357" s="1">
        <f t="shared" si="244"/>
        <v>4050000000</v>
      </c>
      <c r="AH357" s="1">
        <f t="shared" si="264"/>
        <v>4050000</v>
      </c>
      <c r="AI357" s="1">
        <f t="shared" si="265"/>
        <v>4054050000</v>
      </c>
      <c r="AJ357" s="1">
        <f t="shared" si="266"/>
        <v>368690137438.24036</v>
      </c>
      <c r="AK357" s="1">
        <f t="shared" si="267"/>
        <v>369058827575.6786</v>
      </c>
      <c r="AL357" s="39">
        <f>+AJ357/('Volcano Summary'!C$8)*10^6</f>
        <v>25595.53044054146</v>
      </c>
      <c r="AM357" s="1">
        <f t="shared" si="245"/>
        <v>7427.024548297916</v>
      </c>
    </row>
    <row r="358" spans="1:39" ht="12.75" hidden="1">
      <c r="A358" s="1">
        <f t="shared" si="258"/>
        <v>786269.4195355496</v>
      </c>
      <c r="B358" s="1">
        <f t="shared" si="259"/>
        <v>7436.010431102877</v>
      </c>
      <c r="C358" s="1">
        <f t="shared" si="237"/>
        <v>9300</v>
      </c>
      <c r="D358" s="1">
        <f t="shared" si="246"/>
        <v>108.81694613449237</v>
      </c>
      <c r="E358" s="38">
        <f t="shared" si="238"/>
        <v>1148865058.7594995</v>
      </c>
      <c r="F358" s="38">
        <f t="shared" si="239"/>
        <v>738660530.1525066</v>
      </c>
      <c r="G358" s="38">
        <f t="shared" si="240"/>
        <v>328456001.54551375</v>
      </c>
      <c r="H358" s="18">
        <f t="shared" si="247"/>
        <v>0.0045948725613198585</v>
      </c>
      <c r="I358" s="50">
        <f t="shared" si="255"/>
        <v>0.02955239995295822</v>
      </c>
      <c r="J358" s="3">
        <f t="shared" si="248"/>
        <v>15.0789511664998</v>
      </c>
      <c r="K358" s="12">
        <f t="shared" si="257"/>
        <v>0.9217369256629953</v>
      </c>
      <c r="L358" s="3">
        <f t="shared" si="249"/>
        <v>1456.4174759259972</v>
      </c>
      <c r="M358" s="12">
        <f t="shared" si="256"/>
        <v>0.7570131825822483</v>
      </c>
      <c r="N358" s="37">
        <f t="shared" si="250"/>
        <v>13155.492948067122</v>
      </c>
      <c r="O358" s="1">
        <f t="shared" si="241"/>
        <v>157234.1252501511</v>
      </c>
      <c r="P358">
        <f t="shared" si="251"/>
        <v>396.5275844757223</v>
      </c>
      <c r="Q358" s="1">
        <f t="shared" si="252"/>
        <v>5216.515841284454</v>
      </c>
      <c r="R358" s="1">
        <f>+Q358*1000/'Material Properties'!AE$35</f>
        <v>4473613.107036164</v>
      </c>
      <c r="S358" s="1">
        <f t="shared" si="253"/>
        <v>481.03366742324346</v>
      </c>
      <c r="T358" s="1">
        <f t="shared" si="254"/>
        <v>113.9837091841091</v>
      </c>
      <c r="U358">
        <f t="shared" si="242"/>
        <v>7.46659388082023E-05</v>
      </c>
      <c r="V358">
        <f>+'Material Properties'!AE$31+'Material Properties'!AE$33</f>
        <v>0.00029034311030761144</v>
      </c>
      <c r="W358">
        <f t="shared" si="260"/>
        <v>0.00036500904911581375</v>
      </c>
      <c r="X358" s="1">
        <f>+'Volcano Summary'!E$12*10^9/Q358/3600/24/365</f>
        <v>0</v>
      </c>
      <c r="Y358" s="3">
        <f t="shared" si="261"/>
        <v>100</v>
      </c>
      <c r="Z358" s="1">
        <f>+Y358*'Volcano Summary'!B$19*'Volcano Summary'!B$20/1000</f>
        <v>4050000</v>
      </c>
      <c r="AA358" s="1">
        <f t="shared" si="243"/>
        <v>776380.2743485536</v>
      </c>
      <c r="AB358" s="3">
        <f t="shared" si="223"/>
        <v>215.66118731904268</v>
      </c>
      <c r="AC358" s="1">
        <f t="shared" si="262"/>
        <v>642471301.2472883</v>
      </c>
      <c r="AD358" s="36">
        <f t="shared" si="263"/>
        <v>178464.25034646905</v>
      </c>
      <c r="AE358" s="36">
        <f t="shared" si="268"/>
        <v>7436.010431102877</v>
      </c>
      <c r="AG358" s="1">
        <f t="shared" si="244"/>
        <v>4050000000.0000005</v>
      </c>
      <c r="AH358" s="1">
        <f t="shared" si="264"/>
        <v>4050000</v>
      </c>
      <c r="AI358" s="1">
        <f t="shared" si="265"/>
        <v>4054050000.0000005</v>
      </c>
      <c r="AJ358" s="1">
        <f t="shared" si="266"/>
        <v>372740137438.24036</v>
      </c>
      <c r="AK358" s="1">
        <f t="shared" si="267"/>
        <v>373112877575.6786</v>
      </c>
      <c r="AL358" s="39">
        <f>+AJ358/('Volcano Summary'!C$8)*10^6</f>
        <v>25876.693096544313</v>
      </c>
      <c r="AM358" s="1">
        <f t="shared" si="245"/>
        <v>7436.010431102877</v>
      </c>
    </row>
    <row r="359" spans="1:39" ht="12.75" hidden="1">
      <c r="A359" s="1">
        <f t="shared" si="258"/>
        <v>776380.2743485536</v>
      </c>
      <c r="B359" s="1">
        <f t="shared" si="259"/>
        <v>7444.884476310391</v>
      </c>
      <c r="C359" s="1">
        <f t="shared" si="237"/>
        <v>9400</v>
      </c>
      <c r="D359" s="1">
        <f t="shared" si="246"/>
        <v>109.40041919714261</v>
      </c>
      <c r="E359" s="38">
        <f t="shared" si="238"/>
        <v>1155025237.2814898</v>
      </c>
      <c r="F359" s="38">
        <f t="shared" si="239"/>
        <v>742621204.8185117</v>
      </c>
      <c r="G359" s="38">
        <f t="shared" si="240"/>
        <v>330217172.35553396</v>
      </c>
      <c r="H359" s="18">
        <f t="shared" si="247"/>
        <v>0.004570366399592912</v>
      </c>
      <c r="I359" s="50">
        <f t="shared" si="255"/>
        <v>0.029523069778093363</v>
      </c>
      <c r="J359" s="3">
        <f t="shared" si="248"/>
        <v>14.993124612663488</v>
      </c>
      <c r="K359" s="12">
        <f t="shared" si="257"/>
        <v>0.9198487414785964</v>
      </c>
      <c r="L359" s="3">
        <f t="shared" si="249"/>
        <v>1453.4339951004379</v>
      </c>
      <c r="M359" s="12">
        <f t="shared" si="256"/>
        <v>0.7564553099823121</v>
      </c>
      <c r="N359" s="37">
        <f t="shared" si="250"/>
        <v>13296.949861487197</v>
      </c>
      <c r="O359" s="1">
        <f t="shared" si="241"/>
        <v>157810.25640221825</v>
      </c>
      <c r="P359">
        <f t="shared" si="251"/>
        <v>397.2533906742877</v>
      </c>
      <c r="Q359" s="1">
        <f t="shared" si="252"/>
        <v>5282.258418101789</v>
      </c>
      <c r="R359" s="1">
        <f>+Q359*1000/'Material Properties'!AE$35</f>
        <v>4529993.047649542</v>
      </c>
      <c r="S359" s="1">
        <f t="shared" si="253"/>
        <v>481.9141540052704</v>
      </c>
      <c r="T359" s="1">
        <f t="shared" si="254"/>
        <v>116.49456388509157</v>
      </c>
      <c r="U359">
        <f t="shared" si="242"/>
        <v>7.306897113563316E-05</v>
      </c>
      <c r="V359">
        <f>+'Material Properties'!AE$31+'Material Properties'!AE$33</f>
        <v>0.00029034311030761144</v>
      </c>
      <c r="W359">
        <f t="shared" si="260"/>
        <v>0.0003634120814432446</v>
      </c>
      <c r="X359" s="1">
        <f>+'Volcano Summary'!E$12*10^9/Q359/3600/24/365</f>
        <v>0</v>
      </c>
      <c r="Y359" s="3">
        <f t="shared" si="261"/>
        <v>100</v>
      </c>
      <c r="Z359" s="1">
        <f>+Y359*'Volcano Summary'!B$19*'Volcano Summary'!B$20/1000</f>
        <v>4050000</v>
      </c>
      <c r="AA359" s="1">
        <f t="shared" si="243"/>
        <v>766717.5059291006</v>
      </c>
      <c r="AB359" s="3">
        <f t="shared" si="223"/>
        <v>212.9770849803057</v>
      </c>
      <c r="AC359" s="1">
        <f t="shared" si="262"/>
        <v>643238018.7532175</v>
      </c>
      <c r="AD359" s="36">
        <f t="shared" si="263"/>
        <v>178677.22743144937</v>
      </c>
      <c r="AE359" s="36">
        <f t="shared" si="268"/>
        <v>7444.884476310391</v>
      </c>
      <c r="AG359" s="1">
        <f t="shared" si="244"/>
        <v>4050000000</v>
      </c>
      <c r="AH359" s="1">
        <f t="shared" si="264"/>
        <v>4050000</v>
      </c>
      <c r="AI359" s="1">
        <f t="shared" si="265"/>
        <v>4054050000</v>
      </c>
      <c r="AJ359" s="1">
        <f t="shared" si="266"/>
        <v>376790137438.24036</v>
      </c>
      <c r="AK359" s="1">
        <f t="shared" si="267"/>
        <v>377166927575.6786</v>
      </c>
      <c r="AL359" s="39">
        <f>+AJ359/('Volcano Summary'!C$8)*10^6</f>
        <v>26157.855752547166</v>
      </c>
      <c r="AM359" s="1">
        <f t="shared" si="245"/>
        <v>7444.884476310391</v>
      </c>
    </row>
    <row r="360" spans="1:39" ht="12.75" hidden="1">
      <c r="A360" s="1">
        <f t="shared" si="258"/>
        <v>766717.5059291006</v>
      </c>
      <c r="B360" s="1">
        <f t="shared" si="259"/>
        <v>7453.6492175428275</v>
      </c>
      <c r="C360" s="1">
        <f t="shared" si="237"/>
        <v>9500</v>
      </c>
      <c r="D360" s="1">
        <f t="shared" si="246"/>
        <v>109.98079684646791</v>
      </c>
      <c r="E360" s="38">
        <f t="shared" si="238"/>
        <v>1161152735.1196544</v>
      </c>
      <c r="F360" s="38">
        <f t="shared" si="239"/>
        <v>746560867.503122</v>
      </c>
      <c r="G360" s="38">
        <f t="shared" si="240"/>
        <v>331968999.88658935</v>
      </c>
      <c r="H360" s="18">
        <f t="shared" si="247"/>
        <v>0.004546248202747567</v>
      </c>
      <c r="I360" s="50">
        <f t="shared" si="255"/>
        <v>0.02949410722343161</v>
      </c>
      <c r="J360" s="3">
        <f t="shared" si="248"/>
        <v>14.908753195616999</v>
      </c>
      <c r="K360" s="12">
        <f t="shared" si="257"/>
        <v>0.9179925703035736</v>
      </c>
      <c r="L360" s="3">
        <f t="shared" si="249"/>
        <v>1450.501097369701</v>
      </c>
      <c r="M360" s="12">
        <f t="shared" si="256"/>
        <v>0.75590689577151</v>
      </c>
      <c r="N360" s="37">
        <f t="shared" si="250"/>
        <v>13438.406774907276</v>
      </c>
      <c r="O360" s="1">
        <f t="shared" si="241"/>
        <v>158383.08519134045</v>
      </c>
      <c r="P360">
        <f t="shared" si="251"/>
        <v>397.97372424739353</v>
      </c>
      <c r="Q360" s="1">
        <f t="shared" si="252"/>
        <v>5348.132792161253</v>
      </c>
      <c r="R360" s="1">
        <f>+Q360*1000/'Material Properties'!AE$35</f>
        <v>4586486.015786999</v>
      </c>
      <c r="S360" s="1">
        <f t="shared" si="253"/>
        <v>482.78800166178934</v>
      </c>
      <c r="T360" s="1">
        <f t="shared" si="254"/>
        <v>118.95186676713502</v>
      </c>
      <c r="U360">
        <f t="shared" si="242"/>
        <v>7.157085017846526E-05</v>
      </c>
      <c r="V360">
        <f>+'Material Properties'!AE$31+'Material Properties'!AE$33</f>
        <v>0.00029034311030761144</v>
      </c>
      <c r="W360">
        <f t="shared" si="260"/>
        <v>0.0003619139604860767</v>
      </c>
      <c r="X360" s="1">
        <f>+'Volcano Summary'!E$12*10^9/Q360/3600/24/365</f>
        <v>0</v>
      </c>
      <c r="Y360" s="3">
        <f t="shared" si="261"/>
        <v>100</v>
      </c>
      <c r="Z360" s="1">
        <f>+Y360*'Volcano Summary'!B$19*'Volcano Summary'!B$20/1000</f>
        <v>4050000</v>
      </c>
      <c r="AA360" s="1">
        <f t="shared" si="243"/>
        <v>757273.6424824897</v>
      </c>
      <c r="AB360" s="3">
        <f t="shared" si="223"/>
        <v>210.35378957846936</v>
      </c>
      <c r="AC360" s="1">
        <f t="shared" si="262"/>
        <v>643995292.3957</v>
      </c>
      <c r="AD360" s="36">
        <f t="shared" si="263"/>
        <v>178887.58122102785</v>
      </c>
      <c r="AE360" s="36">
        <f t="shared" si="268"/>
        <v>7453.6492175428275</v>
      </c>
      <c r="AG360" s="1">
        <f t="shared" si="244"/>
        <v>4050000000</v>
      </c>
      <c r="AH360" s="1">
        <f t="shared" si="264"/>
        <v>4050000</v>
      </c>
      <c r="AI360" s="1">
        <f t="shared" si="265"/>
        <v>4054050000</v>
      </c>
      <c r="AJ360" s="1">
        <f t="shared" si="266"/>
        <v>380840137438.24036</v>
      </c>
      <c r="AK360" s="1">
        <f t="shared" si="267"/>
        <v>381220977575.6786</v>
      </c>
      <c r="AL360" s="39">
        <f>+AJ360/('Volcano Summary'!C$8)*10^6</f>
        <v>26439.018408550022</v>
      </c>
      <c r="AM360" s="1">
        <f t="shared" si="245"/>
        <v>7453.6492175428275</v>
      </c>
    </row>
    <row r="361" spans="1:39" ht="12.75" hidden="1">
      <c r="A361" s="1">
        <f t="shared" si="258"/>
        <v>757273.6424824897</v>
      </c>
      <c r="B361" s="1">
        <f t="shared" si="259"/>
        <v>7462.307105657171</v>
      </c>
      <c r="C361" s="1">
        <f t="shared" si="237"/>
        <v>9600</v>
      </c>
      <c r="D361" s="1">
        <f t="shared" si="246"/>
        <v>110.55812783082736</v>
      </c>
      <c r="E361" s="38">
        <f t="shared" si="238"/>
        <v>1167248066.948302</v>
      </c>
      <c r="F361" s="38">
        <f t="shared" si="239"/>
        <v>750479849.1151711</v>
      </c>
      <c r="G361" s="38">
        <f t="shared" si="240"/>
        <v>333711631.2820401</v>
      </c>
      <c r="H361" s="18">
        <f t="shared" si="247"/>
        <v>0.004522507840989173</v>
      </c>
      <c r="I361" s="50">
        <f t="shared" si="255"/>
        <v>0.029465503828835126</v>
      </c>
      <c r="J361" s="3">
        <f t="shared" si="248"/>
        <v>14.825797210460335</v>
      </c>
      <c r="K361" s="12">
        <f t="shared" si="257"/>
        <v>0.916167538630127</v>
      </c>
      <c r="L361" s="3">
        <f t="shared" si="249"/>
        <v>1447.6174025221562</v>
      </c>
      <c r="M361" s="12">
        <f t="shared" si="256"/>
        <v>0.7553676818679917</v>
      </c>
      <c r="N361" s="37">
        <f t="shared" si="250"/>
        <v>13579.863688327354</v>
      </c>
      <c r="O361" s="1">
        <f t="shared" si="241"/>
        <v>158952.6607090247</v>
      </c>
      <c r="P361">
        <f t="shared" si="251"/>
        <v>398.6886764243809</v>
      </c>
      <c r="Q361" s="1">
        <f t="shared" si="252"/>
        <v>5414.137879922744</v>
      </c>
      <c r="R361" s="1">
        <f>+Q361*1000/'Material Properties'!AE$35</f>
        <v>4643091.082219265</v>
      </c>
      <c r="S361" s="1">
        <f t="shared" si="253"/>
        <v>483.65532106450684</v>
      </c>
      <c r="T361" s="1">
        <f t="shared" si="254"/>
        <v>121.35732997529453</v>
      </c>
      <c r="U361">
        <f t="shared" si="242"/>
        <v>7.016266428960456E-05</v>
      </c>
      <c r="V361">
        <f>+'Material Properties'!AE$31+'Material Properties'!AE$33</f>
        <v>0.00029034311030761144</v>
      </c>
      <c r="W361">
        <f t="shared" si="260"/>
        <v>0.000360505774597216</v>
      </c>
      <c r="X361" s="1">
        <f>+'Volcano Summary'!E$12*10^9/Q361/3600/24/365</f>
        <v>0</v>
      </c>
      <c r="Y361" s="3">
        <f t="shared" si="261"/>
        <v>100</v>
      </c>
      <c r="Z361" s="1">
        <f>+Y361*'Volcano Summary'!B$19*'Volcano Summary'!B$20/1000</f>
        <v>4050000</v>
      </c>
      <c r="AA361" s="1">
        <f t="shared" si="243"/>
        <v>748041.5330792776</v>
      </c>
      <c r="AB361" s="3">
        <f t="shared" si="223"/>
        <v>207.78931474424377</v>
      </c>
      <c r="AC361" s="1">
        <f t="shared" si="262"/>
        <v>644743333.9287792</v>
      </c>
      <c r="AD361" s="36">
        <f t="shared" si="263"/>
        <v>179095.3705357721</v>
      </c>
      <c r="AE361" s="36">
        <f t="shared" si="268"/>
        <v>7462.307105657171</v>
      </c>
      <c r="AG361" s="1">
        <f t="shared" si="244"/>
        <v>4049999999.9999995</v>
      </c>
      <c r="AH361" s="1">
        <f t="shared" si="264"/>
        <v>4050000</v>
      </c>
      <c r="AI361" s="1">
        <f t="shared" si="265"/>
        <v>4054049999.9999995</v>
      </c>
      <c r="AJ361" s="1">
        <f t="shared" si="266"/>
        <v>384890137438.24036</v>
      </c>
      <c r="AK361" s="1">
        <f t="shared" si="267"/>
        <v>385275027575.6786</v>
      </c>
      <c r="AL361" s="39">
        <f>+AJ361/('Volcano Summary'!C$8)*10^6</f>
        <v>26720.181064552875</v>
      </c>
      <c r="AM361" s="1">
        <f t="shared" si="245"/>
        <v>7462.307105657171</v>
      </c>
    </row>
    <row r="362" spans="1:39" ht="12.75" hidden="1">
      <c r="A362" s="1">
        <f t="shared" si="258"/>
        <v>748041.5330792776</v>
      </c>
      <c r="B362" s="1">
        <f t="shared" si="259"/>
        <v>7470.860512263017</v>
      </c>
      <c r="C362" s="1">
        <f t="shared" si="237"/>
        <v>9700</v>
      </c>
      <c r="D362" s="1">
        <f t="shared" si="246"/>
        <v>111.13245963232829</v>
      </c>
      <c r="E362" s="38">
        <f t="shared" si="238"/>
        <v>1173311734.0729363</v>
      </c>
      <c r="F362" s="38">
        <f t="shared" si="239"/>
        <v>754378471.9680473</v>
      </c>
      <c r="G362" s="38">
        <f t="shared" si="240"/>
        <v>335445209.86315817</v>
      </c>
      <c r="H362" s="18">
        <f t="shared" si="247"/>
        <v>0.004499135550983078</v>
      </c>
      <c r="I362" s="50">
        <f t="shared" si="255"/>
        <v>0.029437251415190054</v>
      </c>
      <c r="J362" s="3">
        <f t="shared" si="248"/>
        <v>14.744218436530849</v>
      </c>
      <c r="K362" s="12">
        <f t="shared" si="257"/>
        <v>0.9143728056036784</v>
      </c>
      <c r="L362" s="3">
        <f t="shared" si="249"/>
        <v>1444.781581940854</v>
      </c>
      <c r="M362" s="12">
        <f t="shared" si="256"/>
        <v>0.75483741983745</v>
      </c>
      <c r="N362" s="37">
        <f t="shared" si="250"/>
        <v>13721.320601747426</v>
      </c>
      <c r="O362" s="1">
        <f t="shared" si="241"/>
        <v>159519.0308264437</v>
      </c>
      <c r="P362">
        <f t="shared" si="251"/>
        <v>399.3983360336441</v>
      </c>
      <c r="Q362" s="1">
        <f t="shared" si="252"/>
        <v>5480.272616522082</v>
      </c>
      <c r="R362" s="1">
        <f>+Q362*1000/'Material Properties'!AE$35</f>
        <v>4699807.33373329</v>
      </c>
      <c r="S362" s="1">
        <f t="shared" si="253"/>
        <v>484.5162199725042</v>
      </c>
      <c r="T362" s="1">
        <f t="shared" si="254"/>
        <v>123.71259337707465</v>
      </c>
      <c r="U362">
        <f t="shared" si="242"/>
        <v>6.883654185771965E-05</v>
      </c>
      <c r="V362">
        <f>+'Material Properties'!AE$31+'Material Properties'!AE$33</f>
        <v>0.00029034311030761144</v>
      </c>
      <c r="W362">
        <f t="shared" si="260"/>
        <v>0.0003591796521653311</v>
      </c>
      <c r="X362" s="1">
        <f>+'Volcano Summary'!E$12*10^9/Q362/3600/24/365</f>
        <v>0</v>
      </c>
      <c r="Y362" s="3">
        <f t="shared" si="261"/>
        <v>100</v>
      </c>
      <c r="Z362" s="1">
        <f>+Y362*'Volcano Summary'!B$19*'Volcano Summary'!B$20/1000</f>
        <v>4050000</v>
      </c>
      <c r="AA362" s="1">
        <f t="shared" si="243"/>
        <v>739014.3307451429</v>
      </c>
      <c r="AB362" s="3">
        <f t="shared" si="223"/>
        <v>205.28175854031747</v>
      </c>
      <c r="AC362" s="1">
        <f t="shared" si="262"/>
        <v>645482348.2595243</v>
      </c>
      <c r="AD362" s="36">
        <f t="shared" si="263"/>
        <v>179300.6522943124</v>
      </c>
      <c r="AE362" s="36">
        <f t="shared" si="268"/>
        <v>7470.860512263017</v>
      </c>
      <c r="AG362" s="1">
        <f t="shared" si="244"/>
        <v>4049999999.9999995</v>
      </c>
      <c r="AH362" s="1">
        <f t="shared" si="264"/>
        <v>4050000</v>
      </c>
      <c r="AI362" s="1">
        <f t="shared" si="265"/>
        <v>4054049999.9999995</v>
      </c>
      <c r="AJ362" s="1">
        <f t="shared" si="266"/>
        <v>388940137438.24036</v>
      </c>
      <c r="AK362" s="1">
        <f t="shared" si="267"/>
        <v>389329077575.6786</v>
      </c>
      <c r="AL362" s="39">
        <f>+AJ362/('Volcano Summary'!C$8)*10^6</f>
        <v>27001.34372055573</v>
      </c>
      <c r="AM362" s="1">
        <f t="shared" si="245"/>
        <v>7470.860512263017</v>
      </c>
    </row>
    <row r="363" spans="1:39" ht="12.75" hidden="1">
      <c r="A363" s="1">
        <f t="shared" si="258"/>
        <v>739014.3307451429</v>
      </c>
      <c r="B363" s="1">
        <f t="shared" si="259"/>
        <v>7479.311733057043</v>
      </c>
      <c r="C363" s="1">
        <f t="shared" si="237"/>
        <v>9800</v>
      </c>
      <c r="D363" s="1">
        <f t="shared" si="246"/>
        <v>111.70383851240116</v>
      </c>
      <c r="E363" s="38">
        <f t="shared" si="238"/>
        <v>1179344224.9114273</v>
      </c>
      <c r="F363" s="38">
        <f t="shared" si="239"/>
        <v>758257050.0890592</v>
      </c>
      <c r="G363" s="38">
        <f t="shared" si="240"/>
        <v>337169875.26669127</v>
      </c>
      <c r="H363" s="18">
        <f t="shared" si="247"/>
        <v>0.004476121918983929</v>
      </c>
      <c r="I363" s="50">
        <f t="shared" si="255"/>
        <v>0.029409342072269466</v>
      </c>
      <c r="J363" s="3">
        <f t="shared" si="248"/>
        <v>14.663980067258159</v>
      </c>
      <c r="K363" s="12">
        <f t="shared" si="257"/>
        <v>0.9126075614796791</v>
      </c>
      <c r="L363" s="3">
        <f t="shared" si="249"/>
        <v>1441.9923561651601</v>
      </c>
      <c r="M363" s="12">
        <f t="shared" si="256"/>
        <v>0.7543158704371775</v>
      </c>
      <c r="N363" s="37">
        <f t="shared" si="250"/>
        <v>13862.777515167509</v>
      </c>
      <c r="O363" s="1">
        <f t="shared" si="241"/>
        <v>160082.24223692995</v>
      </c>
      <c r="P363">
        <f t="shared" si="251"/>
        <v>400.1027895890379</v>
      </c>
      <c r="Q363" s="1">
        <f t="shared" si="252"/>
        <v>5546.535955270711</v>
      </c>
      <c r="R363" s="1">
        <f>+Q363*1000/'Material Properties'!AE$35</f>
        <v>4756633.872703189</v>
      </c>
      <c r="S363" s="1">
        <f t="shared" si="253"/>
        <v>485.3708033370601</v>
      </c>
      <c r="T363" s="1">
        <f t="shared" si="254"/>
        <v>126.01922833293634</v>
      </c>
      <c r="U363">
        <f t="shared" si="242"/>
        <v>6.758550388833383E-05</v>
      </c>
      <c r="V363">
        <f>+'Material Properties'!AE$31+'Material Properties'!AE$33</f>
        <v>0.00029034311030761144</v>
      </c>
      <c r="W363">
        <f t="shared" si="260"/>
        <v>0.0003579286141959453</v>
      </c>
      <c r="X363" s="1">
        <f>+'Volcano Summary'!E$12*10^9/Q363/3600/24/365</f>
        <v>0</v>
      </c>
      <c r="Y363" s="3">
        <f t="shared" si="261"/>
        <v>100</v>
      </c>
      <c r="Z363" s="1">
        <f>+Y363*'Volcano Summary'!B$19*'Volcano Summary'!B$20/1000</f>
        <v>4050000</v>
      </c>
      <c r="AA363" s="1">
        <f t="shared" si="243"/>
        <v>730185.4766038978</v>
      </c>
      <c r="AB363" s="3">
        <f t="shared" si="223"/>
        <v>202.82929905663826</v>
      </c>
      <c r="AC363" s="1">
        <f t="shared" si="262"/>
        <v>646212533.7361282</v>
      </c>
      <c r="AD363" s="36">
        <f t="shared" si="263"/>
        <v>179503.48159336904</v>
      </c>
      <c r="AE363" s="36">
        <f t="shared" si="268"/>
        <v>7479.311733057043</v>
      </c>
      <c r="AG363" s="1">
        <f t="shared" si="244"/>
        <v>4049999999.9999995</v>
      </c>
      <c r="AH363" s="1">
        <f t="shared" si="264"/>
        <v>4050000</v>
      </c>
      <c r="AI363" s="1">
        <f t="shared" si="265"/>
        <v>4054049999.9999995</v>
      </c>
      <c r="AJ363" s="1">
        <f t="shared" si="266"/>
        <v>392990137438.24036</v>
      </c>
      <c r="AK363" s="1">
        <f t="shared" si="267"/>
        <v>393383127575.6786</v>
      </c>
      <c r="AL363" s="39">
        <f>+AJ363/('Volcano Summary'!C$8)*10^6</f>
        <v>27282.506376558584</v>
      </c>
      <c r="AM363" s="1">
        <f t="shared" si="245"/>
        <v>7479.311733057043</v>
      </c>
    </row>
    <row r="364" spans="1:39" ht="12.75" hidden="1">
      <c r="A364" s="1">
        <f t="shared" si="258"/>
        <v>730185.4766038978</v>
      </c>
      <c r="B364" s="1">
        <f t="shared" si="259"/>
        <v>7487.662990985263</v>
      </c>
      <c r="C364" s="1">
        <f t="shared" si="237"/>
        <v>9900</v>
      </c>
      <c r="D364" s="1">
        <f t="shared" si="246"/>
        <v>112.27230955528665</v>
      </c>
      <c r="E364" s="38">
        <f t="shared" si="238"/>
        <v>1185346015.4531367</v>
      </c>
      <c r="F364" s="38">
        <f t="shared" si="239"/>
        <v>762115889.5146313</v>
      </c>
      <c r="G364" s="38">
        <f t="shared" si="240"/>
        <v>338885763.5761261</v>
      </c>
      <c r="H364" s="18">
        <f t="shared" si="247"/>
        <v>0.004453457864904643</v>
      </c>
      <c r="I364" s="50">
        <f t="shared" si="255"/>
        <v>0.029381768147238942</v>
      </c>
      <c r="J364" s="3">
        <f t="shared" si="248"/>
        <v>14.585046644012596</v>
      </c>
      <c r="K364" s="12">
        <f t="shared" si="257"/>
        <v>0.9108710261682768</v>
      </c>
      <c r="L364" s="3">
        <f t="shared" si="249"/>
        <v>1439.2484925912127</v>
      </c>
      <c r="M364" s="12">
        <f t="shared" si="256"/>
        <v>0.7538028031860814</v>
      </c>
      <c r="N364" s="37">
        <f t="shared" si="250"/>
        <v>14004.234428587582</v>
      </c>
      <c r="O364" s="1">
        <f t="shared" si="241"/>
        <v>160642.34049657357</v>
      </c>
      <c r="P364">
        <f t="shared" si="251"/>
        <v>400.802121372347</v>
      </c>
      <c r="Q364" s="1">
        <f t="shared" si="252"/>
        <v>5612.926867173561</v>
      </c>
      <c r="R364" s="1">
        <f>+Q364*1000/'Material Properties'!AE$35</f>
        <v>4813569.81667677</v>
      </c>
      <c r="S364" s="1">
        <f t="shared" si="253"/>
        <v>486.219173401694</v>
      </c>
      <c r="T364" s="1">
        <f t="shared" si="254"/>
        <v>128.2787412335092</v>
      </c>
      <c r="U364">
        <f t="shared" si="242"/>
        <v>6.640334096841993E-05</v>
      </c>
      <c r="V364">
        <f>+'Material Properties'!AE$31+'Material Properties'!AE$33</f>
        <v>0.00029034311030761144</v>
      </c>
      <c r="W364">
        <f t="shared" si="260"/>
        <v>0.00035674645127603137</v>
      </c>
      <c r="X364" s="1">
        <f>+'Volcano Summary'!E$12*10^9/Q364/3600/24/365</f>
        <v>0</v>
      </c>
      <c r="Y364" s="3">
        <f t="shared" si="261"/>
        <v>100</v>
      </c>
      <c r="Z364" s="1">
        <f>+Y364*'Volcano Summary'!B$19*'Volcano Summary'!B$20/1000</f>
        <v>4050000</v>
      </c>
      <c r="AA364" s="1">
        <f t="shared" si="243"/>
        <v>721548.6849981734</v>
      </c>
      <c r="AB364" s="3">
        <f t="shared" si="223"/>
        <v>200.43019027727038</v>
      </c>
      <c r="AC364" s="1">
        <f t="shared" si="262"/>
        <v>646934082.4211264</v>
      </c>
      <c r="AD364" s="36">
        <f t="shared" si="263"/>
        <v>179703.9117836463</v>
      </c>
      <c r="AE364" s="36">
        <f t="shared" si="268"/>
        <v>7487.662990985263</v>
      </c>
      <c r="AG364" s="1">
        <f t="shared" si="244"/>
        <v>4050000000</v>
      </c>
      <c r="AH364" s="1">
        <f t="shared" si="264"/>
        <v>4050000</v>
      </c>
      <c r="AI364" s="1">
        <f t="shared" si="265"/>
        <v>4054050000</v>
      </c>
      <c r="AJ364" s="1">
        <f t="shared" si="266"/>
        <v>397040137438.24036</v>
      </c>
      <c r="AK364" s="1">
        <f t="shared" si="267"/>
        <v>397437177575.6786</v>
      </c>
      <c r="AL364" s="39">
        <f>+AJ364/('Volcano Summary'!C$8)*10^6</f>
        <v>27563.66903256144</v>
      </c>
      <c r="AM364" s="1">
        <f t="shared" si="245"/>
        <v>7487.662990985263</v>
      </c>
    </row>
    <row r="365" spans="1:39" ht="12.75" hidden="1">
      <c r="A365" s="1">
        <f t="shared" si="258"/>
        <v>721548.6849981734</v>
      </c>
      <c r="B365" s="1">
        <f t="shared" si="259"/>
        <v>7504.169887501892</v>
      </c>
      <c r="C365" s="1">
        <f t="shared" si="237"/>
        <v>10000</v>
      </c>
      <c r="D365" s="1">
        <f t="shared" si="246"/>
        <v>112.83791670955127</v>
      </c>
      <c r="E365" s="38">
        <f t="shared" si="238"/>
        <v>1191317569.6972327</v>
      </c>
      <c r="F365" s="38">
        <f t="shared" si="239"/>
        <v>765955288.5721163</v>
      </c>
      <c r="G365" s="38">
        <f t="shared" si="240"/>
        <v>340593007.44699967</v>
      </c>
      <c r="H365" s="18">
        <f t="shared" si="247"/>
        <v>0.00443113462726379</v>
      </c>
      <c r="I365" s="50">
        <f t="shared" si="255"/>
        <v>0.02935452223376454</v>
      </c>
      <c r="J365" s="3">
        <f t="shared" si="248"/>
        <v>14.507383993681888</v>
      </c>
      <c r="K365" s="12">
        <f t="shared" si="257"/>
        <v>0.9091624478610012</v>
      </c>
      <c r="L365" s="3">
        <f t="shared" si="249"/>
        <v>1436.5488033019783</v>
      </c>
      <c r="M365" s="12">
        <f t="shared" si="256"/>
        <v>0.7532979959589318</v>
      </c>
      <c r="N365" s="37">
        <f t="shared" si="250"/>
        <v>14145.69134200766</v>
      </c>
      <c r="O365" s="1">
        <f t="shared" si="241"/>
        <v>161199.37006302725</v>
      </c>
      <c r="P365">
        <f t="shared" si="251"/>
        <v>401.4964135120353</v>
      </c>
      <c r="Q365" s="1">
        <f t="shared" si="252"/>
        <v>5679.444340464324</v>
      </c>
      <c r="R365" s="1">
        <f>+Q365*1000/'Material Properties'!AE$35</f>
        <v>4870614.297976997</v>
      </c>
      <c r="S365" s="1">
        <f t="shared" si="253"/>
        <v>487.0614297976997</v>
      </c>
      <c r="T365" s="1">
        <f t="shared" si="254"/>
        <v>130.49257682015968</v>
      </c>
      <c r="U365">
        <f t="shared" si="242"/>
        <v>6.528451003545494E-05</v>
      </c>
      <c r="V365">
        <f>+'Material Properties'!AE$31+'Material Properties'!AE$33</f>
        <v>0.00029034311030761144</v>
      </c>
      <c r="W365">
        <f t="shared" si="260"/>
        <v>0.0003556276203430664</v>
      </c>
      <c r="X365" s="1">
        <f>+'Volcano Summary'!E$12*10^9/Q365/3600/24/365</f>
        <v>0</v>
      </c>
      <c r="Y365" s="3">
        <f t="shared" si="261"/>
        <v>200</v>
      </c>
      <c r="Z365" s="1">
        <f>+Y365*'Volcano Summary'!B$19*'Volcano Summary'!B$20/1000</f>
        <v>8100000</v>
      </c>
      <c r="AA365" s="1">
        <f t="shared" si="243"/>
        <v>1426195.8590367632</v>
      </c>
      <c r="AB365" s="3">
        <f t="shared" si="223"/>
        <v>396.1655163991009</v>
      </c>
      <c r="AC365" s="1">
        <f t="shared" si="262"/>
        <v>648360278.2801632</v>
      </c>
      <c r="AD365" s="36">
        <f t="shared" si="263"/>
        <v>180100.0773000454</v>
      </c>
      <c r="AE365" s="36">
        <f t="shared" si="268"/>
        <v>7504.169887501892</v>
      </c>
      <c r="AG365" s="1">
        <f t="shared" si="244"/>
        <v>8100000000</v>
      </c>
      <c r="AH365" s="1">
        <f t="shared" si="264"/>
        <v>8100000</v>
      </c>
      <c r="AI365" s="1">
        <f t="shared" si="265"/>
        <v>8108100000</v>
      </c>
      <c r="AJ365" s="1">
        <f t="shared" si="266"/>
        <v>405140137438.24036</v>
      </c>
      <c r="AK365" s="1">
        <f t="shared" si="267"/>
        <v>405545277575.6786</v>
      </c>
      <c r="AL365" s="39">
        <f>+AJ365/('Volcano Summary'!C$8)*10^6</f>
        <v>28125.994344567145</v>
      </c>
      <c r="AM365" s="1">
        <f t="shared" si="245"/>
        <v>7504.169887501892</v>
      </c>
    </row>
    <row r="366" spans="1:39" ht="12.75" hidden="1">
      <c r="A366" s="1">
        <f t="shared" si="258"/>
        <v>1426195.8590367632</v>
      </c>
      <c r="B366" s="1">
        <f t="shared" si="259"/>
        <v>7520.297934714009</v>
      </c>
      <c r="C366" s="1">
        <f t="shared" si="237"/>
        <v>10200</v>
      </c>
      <c r="D366" s="1">
        <f t="shared" si="246"/>
        <v>113.96070970426018</v>
      </c>
      <c r="E366" s="38">
        <f t="shared" si="238"/>
        <v>1203171767.8314712</v>
      </c>
      <c r="F366" s="38">
        <f t="shared" si="239"/>
        <v>773576921.9498638</v>
      </c>
      <c r="G366" s="38">
        <f t="shared" si="240"/>
        <v>343982076.0682565</v>
      </c>
      <c r="H366" s="18">
        <f t="shared" si="247"/>
        <v>0.004387477063784103</v>
      </c>
      <c r="I366" s="50">
        <f t="shared" si="255"/>
        <v>0.029300985987220224</v>
      </c>
      <c r="J366" s="3">
        <f t="shared" si="248"/>
        <v>14.355740396518813</v>
      </c>
      <c r="K366" s="12">
        <f t="shared" si="257"/>
        <v>0.9058262887234135</v>
      </c>
      <c r="L366" s="3">
        <f t="shared" si="249"/>
        <v>1431.2774071636952</v>
      </c>
      <c r="M366" s="12">
        <f t="shared" si="256"/>
        <v>0.7523123125773719</v>
      </c>
      <c r="N366" s="37">
        <f t="shared" si="250"/>
        <v>14428.605168847813</v>
      </c>
      <c r="O366" s="1">
        <f t="shared" si="241"/>
        <v>162304.39567582612</v>
      </c>
      <c r="P366">
        <f t="shared" si="251"/>
        <v>402.87019705585834</v>
      </c>
      <c r="Q366" s="1">
        <f t="shared" si="252"/>
        <v>5812.855007614895</v>
      </c>
      <c r="R366" s="1">
        <f>+Q366*1000/'Material Properties'!AE$35</f>
        <v>4985025.473432427</v>
      </c>
      <c r="S366" s="1">
        <f t="shared" si="253"/>
        <v>488.72798759141443</v>
      </c>
      <c r="T366" s="1">
        <f t="shared" si="254"/>
        <v>134.78870529893516</v>
      </c>
      <c r="U366">
        <f t="shared" si="242"/>
        <v>6.32174946404129E-05</v>
      </c>
      <c r="V366">
        <f>+'Material Properties'!AE$31+'Material Properties'!AE$33</f>
        <v>0.00029034311030761144</v>
      </c>
      <c r="W366">
        <f t="shared" si="260"/>
        <v>0.00035356060494802434</v>
      </c>
      <c r="X366" s="1">
        <f>+'Volcano Summary'!E$12*10^9/Q366/3600/24/365</f>
        <v>0</v>
      </c>
      <c r="Y366" s="3">
        <f t="shared" si="261"/>
        <v>200</v>
      </c>
      <c r="Z366" s="1">
        <f>+Y366*'Volcano Summary'!B$19*'Volcano Summary'!B$20/1000</f>
        <v>8100000</v>
      </c>
      <c r="AA366" s="1">
        <f t="shared" si="243"/>
        <v>1393463.279126853</v>
      </c>
      <c r="AB366" s="3">
        <f t="shared" si="223"/>
        <v>387.0731330907925</v>
      </c>
      <c r="AC366" s="1">
        <f t="shared" si="262"/>
        <v>649753741.55929</v>
      </c>
      <c r="AD366" s="36">
        <f t="shared" si="263"/>
        <v>180487.1504331362</v>
      </c>
      <c r="AE366" s="36">
        <f t="shared" si="268"/>
        <v>7520.297934714009</v>
      </c>
      <c r="AG366" s="1">
        <f t="shared" si="244"/>
        <v>8099999999.999999</v>
      </c>
      <c r="AH366" s="1">
        <f t="shared" si="264"/>
        <v>8100000</v>
      </c>
      <c r="AI366" s="1">
        <f t="shared" si="265"/>
        <v>8108099999.999999</v>
      </c>
      <c r="AJ366" s="1">
        <f t="shared" si="266"/>
        <v>413240137438.24036</v>
      </c>
      <c r="AK366" s="1">
        <f t="shared" si="267"/>
        <v>413653377575.6786</v>
      </c>
      <c r="AL366" s="39">
        <f>+AJ366/('Volcano Summary'!C$8)*10^6</f>
        <v>28688.31965657285</v>
      </c>
      <c r="AM366" s="1">
        <f t="shared" si="245"/>
        <v>7520.297934714009</v>
      </c>
    </row>
    <row r="367" spans="1:39" ht="12.75" hidden="1">
      <c r="A367" s="1">
        <f t="shared" si="258"/>
        <v>1393463.279126853</v>
      </c>
      <c r="B367" s="1">
        <f t="shared" si="259"/>
        <v>7536.062821307107</v>
      </c>
      <c r="C367" s="1">
        <f t="shared" si="237"/>
        <v>10400</v>
      </c>
      <c r="D367" s="1">
        <f t="shared" si="246"/>
        <v>115.07254783503184</v>
      </c>
      <c r="E367" s="38">
        <f t="shared" si="238"/>
        <v>1214910306.9544244</v>
      </c>
      <c r="F367" s="38">
        <f t="shared" si="239"/>
        <v>781124192.5937625</v>
      </c>
      <c r="G367" s="38">
        <f t="shared" si="240"/>
        <v>347338078.2331008</v>
      </c>
      <c r="H367" s="18">
        <f t="shared" si="247"/>
        <v>0.004345084986879761</v>
      </c>
      <c r="I367" s="50">
        <f t="shared" si="255"/>
        <v>0.029248678632562353</v>
      </c>
      <c r="J367" s="3">
        <f t="shared" si="248"/>
        <v>14.208799441241755</v>
      </c>
      <c r="K367" s="12">
        <f t="shared" si="257"/>
        <v>0.9025935877073183</v>
      </c>
      <c r="L367" s="3">
        <f t="shared" si="249"/>
        <v>1426.1694830660485</v>
      </c>
      <c r="M367" s="12">
        <f t="shared" si="256"/>
        <v>0.751357196368071</v>
      </c>
      <c r="N367" s="37">
        <f t="shared" si="250"/>
        <v>14711.518995687964</v>
      </c>
      <c r="O367" s="1">
        <f t="shared" si="241"/>
        <v>163397.6541383901</v>
      </c>
      <c r="P367">
        <f t="shared" si="251"/>
        <v>404.2247569587866</v>
      </c>
      <c r="Q367" s="1">
        <f t="shared" si="252"/>
        <v>5946.760190526539</v>
      </c>
      <c r="R367" s="1">
        <f>+Q367*1000/'Material Properties'!AE$35</f>
        <v>5099860.738885414</v>
      </c>
      <c r="S367" s="1">
        <f t="shared" si="253"/>
        <v>490.37122489282825</v>
      </c>
      <c r="T367" s="1">
        <f t="shared" si="254"/>
        <v>138.91805266677216</v>
      </c>
      <c r="U367">
        <f t="shared" si="242"/>
        <v>6.135044678703741E-05</v>
      </c>
      <c r="V367">
        <f>+'Material Properties'!AE$31+'Material Properties'!AE$33</f>
        <v>0.00029034311030761144</v>
      </c>
      <c r="W367">
        <f t="shared" si="260"/>
        <v>0.0003516935570946489</v>
      </c>
      <c r="X367" s="1">
        <f>+'Volcano Summary'!E$12*10^9/Q367/3600/24/365</f>
        <v>0</v>
      </c>
      <c r="Y367" s="3">
        <f t="shared" si="261"/>
        <v>200</v>
      </c>
      <c r="Z367" s="1">
        <f>+Y367*'Volcano Summary'!B$19*'Volcano Summary'!B$20/1000</f>
        <v>8100000</v>
      </c>
      <c r="AA367" s="1">
        <f t="shared" si="243"/>
        <v>1362086.2016436562</v>
      </c>
      <c r="AB367" s="3">
        <f t="shared" si="223"/>
        <v>378.35727823434894</v>
      </c>
      <c r="AC367" s="1">
        <f t="shared" si="262"/>
        <v>651115827.7609338</v>
      </c>
      <c r="AD367" s="36">
        <f t="shared" si="263"/>
        <v>180865.50771137056</v>
      </c>
      <c r="AE367" s="36">
        <f t="shared" si="268"/>
        <v>7536.062821307107</v>
      </c>
      <c r="AG367" s="1">
        <f t="shared" si="244"/>
        <v>8099999999.999999</v>
      </c>
      <c r="AH367" s="1">
        <f t="shared" si="264"/>
        <v>8100000</v>
      </c>
      <c r="AI367" s="1">
        <f t="shared" si="265"/>
        <v>8108099999.999999</v>
      </c>
      <c r="AJ367" s="1">
        <f t="shared" si="266"/>
        <v>421340137438.24036</v>
      </c>
      <c r="AK367" s="1">
        <f t="shared" si="267"/>
        <v>421761477575.6786</v>
      </c>
      <c r="AL367" s="39">
        <f>+AJ367/('Volcano Summary'!C$8)*10^6</f>
        <v>29250.64496857856</v>
      </c>
      <c r="AM367" s="1">
        <f t="shared" si="245"/>
        <v>7536.062821307107</v>
      </c>
    </row>
    <row r="368" spans="1:39" ht="12.75" hidden="1">
      <c r="A368" s="1">
        <f t="shared" si="258"/>
        <v>1362086.2016436562</v>
      </c>
      <c r="B368" s="1">
        <f t="shared" si="259"/>
        <v>7551.479307241311</v>
      </c>
      <c r="C368" s="1">
        <f t="shared" si="237"/>
        <v>10600</v>
      </c>
      <c r="D368" s="1">
        <f t="shared" si="246"/>
        <v>116.17374563210366</v>
      </c>
      <c r="E368" s="38">
        <f t="shared" si="238"/>
        <v>1226536507.806221</v>
      </c>
      <c r="F368" s="38">
        <f t="shared" si="239"/>
        <v>788599235.5671475</v>
      </c>
      <c r="G368" s="38">
        <f t="shared" si="240"/>
        <v>350661963.3280739</v>
      </c>
      <c r="H368" s="18">
        <f t="shared" si="247"/>
        <v>0.004303898417663044</v>
      </c>
      <c r="I368" s="50">
        <f t="shared" si="255"/>
        <v>0.029197548805239212</v>
      </c>
      <c r="J368" s="3">
        <f t="shared" si="248"/>
        <v>14.066328410250856</v>
      </c>
      <c r="K368" s="12">
        <f t="shared" si="257"/>
        <v>0.8994592250255184</v>
      </c>
      <c r="L368" s="3">
        <f t="shared" si="249"/>
        <v>1421.2169413390475</v>
      </c>
      <c r="M368" s="12">
        <f t="shared" si="256"/>
        <v>0.7504311346666301</v>
      </c>
      <c r="N368" s="37">
        <f t="shared" si="250"/>
        <v>14994.432822528117</v>
      </c>
      <c r="O368" s="1">
        <f t="shared" si="241"/>
        <v>164479.4651538053</v>
      </c>
      <c r="P368">
        <f t="shared" si="251"/>
        <v>405.56067998982013</v>
      </c>
      <c r="Q368" s="1">
        <f t="shared" si="252"/>
        <v>6081.1523715661815</v>
      </c>
      <c r="R368" s="1">
        <f>+Q368*1000/'Material Properties'!AE$35</f>
        <v>5215113.647315973</v>
      </c>
      <c r="S368" s="1">
        <f t="shared" si="253"/>
        <v>491.99185352037483</v>
      </c>
      <c r="T368" s="1">
        <f t="shared" si="254"/>
        <v>142.89025268909018</v>
      </c>
      <c r="U368">
        <f t="shared" si="242"/>
        <v>5.9655643130049464E-05</v>
      </c>
      <c r="V368">
        <f>+'Material Properties'!AE$31+'Material Properties'!AE$33</f>
        <v>0.00029034311030761144</v>
      </c>
      <c r="W368">
        <f t="shared" si="260"/>
        <v>0.0003499987534376609</v>
      </c>
      <c r="X368" s="1">
        <f>+'Volcano Summary'!E$12*10^9/Q368/3600/24/365</f>
        <v>0</v>
      </c>
      <c r="Y368" s="3">
        <f t="shared" si="261"/>
        <v>200</v>
      </c>
      <c r="Z368" s="1">
        <f>+Y368*'Volcano Summary'!B$19*'Volcano Summary'!B$20/1000</f>
        <v>8100000</v>
      </c>
      <c r="AA368" s="1">
        <f t="shared" si="243"/>
        <v>1331984.3847152067</v>
      </c>
      <c r="AB368" s="3">
        <f aca="true" t="shared" si="269" ref="AB368:AB432">+AA368/3600</f>
        <v>369.99566242089077</v>
      </c>
      <c r="AC368" s="1">
        <f t="shared" si="262"/>
        <v>652447812.145649</v>
      </c>
      <c r="AD368" s="36">
        <f t="shared" si="263"/>
        <v>181235.50337379146</v>
      </c>
      <c r="AE368" s="36">
        <f t="shared" si="268"/>
        <v>7551.479307241311</v>
      </c>
      <c r="AG368" s="1">
        <f t="shared" si="244"/>
        <v>8100000000</v>
      </c>
      <c r="AH368" s="1">
        <f t="shared" si="264"/>
        <v>8100000</v>
      </c>
      <c r="AI368" s="1">
        <f t="shared" si="265"/>
        <v>8108100000</v>
      </c>
      <c r="AJ368" s="1">
        <f t="shared" si="266"/>
        <v>429440137438.24036</v>
      </c>
      <c r="AK368" s="1">
        <f t="shared" si="267"/>
        <v>429869577575.6786</v>
      </c>
      <c r="AL368" s="39">
        <f>+AJ368/('Volcano Summary'!C$8)*10^6</f>
        <v>29812.970280584268</v>
      </c>
      <c r="AM368" s="1">
        <f t="shared" si="245"/>
        <v>7551.479307241311</v>
      </c>
    </row>
    <row r="369" spans="1:39" ht="12.75" hidden="1">
      <c r="A369" s="1">
        <f t="shared" si="258"/>
        <v>1331984.3847152067</v>
      </c>
      <c r="B369" s="1">
        <f t="shared" si="259"/>
        <v>7566.561294688047</v>
      </c>
      <c r="C369" s="1">
        <f t="shared" si="237"/>
        <v>10800</v>
      </c>
      <c r="D369" s="1">
        <f t="shared" si="246"/>
        <v>117.26460285670079</v>
      </c>
      <c r="E369" s="38">
        <f t="shared" si="238"/>
        <v>1238053535.1990507</v>
      </c>
      <c r="F369" s="38">
        <f t="shared" si="239"/>
        <v>796004085.6797918</v>
      </c>
      <c r="G369" s="38">
        <f t="shared" si="240"/>
        <v>353954636.1605331</v>
      </c>
      <c r="H369" s="18">
        <f t="shared" si="247"/>
        <v>0.004263861283110368</v>
      </c>
      <c r="I369" s="50">
        <f t="shared" si="255"/>
        <v>0.02914754821400454</v>
      </c>
      <c r="J369" s="3">
        <f t="shared" si="248"/>
        <v>13.92811023272867</v>
      </c>
      <c r="K369" s="12">
        <f t="shared" si="257"/>
        <v>0.8964184251200304</v>
      </c>
      <c r="L369" s="3">
        <f t="shared" si="249"/>
        <v>1416.412236222171</v>
      </c>
      <c r="M369" s="12">
        <f t="shared" si="256"/>
        <v>0.7495327165127359</v>
      </c>
      <c r="N369" s="37">
        <f t="shared" si="250"/>
        <v>15277.346649368274</v>
      </c>
      <c r="O369" s="1">
        <f t="shared" si="241"/>
        <v>165550.13404285934</v>
      </c>
      <c r="P369">
        <f t="shared" si="251"/>
        <v>406.87852492219264</v>
      </c>
      <c r="Q369" s="1">
        <f t="shared" si="252"/>
        <v>6216.024269419965</v>
      </c>
      <c r="R369" s="1">
        <f>+Q369*1000/'Material Properties'!AE$35</f>
        <v>5330777.9543682765</v>
      </c>
      <c r="S369" s="1">
        <f t="shared" si="253"/>
        <v>493.59055133039595</v>
      </c>
      <c r="T369" s="1">
        <f t="shared" si="254"/>
        <v>146.71421010715198</v>
      </c>
      <c r="U369">
        <f t="shared" si="242"/>
        <v>5.811025912595657E-05</v>
      </c>
      <c r="V369">
        <f>+'Material Properties'!AE$31+'Material Properties'!AE$33</f>
        <v>0.00029034311030761144</v>
      </c>
      <c r="W369">
        <f t="shared" si="260"/>
        <v>0.000348453369433568</v>
      </c>
      <c r="X369" s="1">
        <f>+'Volcano Summary'!E$12*10^9/Q369/3600/24/365</f>
        <v>0</v>
      </c>
      <c r="Y369" s="3">
        <f t="shared" si="261"/>
        <v>200</v>
      </c>
      <c r="Z369" s="1">
        <f>+Y369*'Volcano Summary'!B$19*'Volcano Summary'!B$20/1000</f>
        <v>8100000</v>
      </c>
      <c r="AA369" s="1">
        <f t="shared" si="243"/>
        <v>1303083.715398015</v>
      </c>
      <c r="AB369" s="3">
        <f t="shared" si="269"/>
        <v>361.96769872167084</v>
      </c>
      <c r="AC369" s="1">
        <f t="shared" si="262"/>
        <v>653750895.861047</v>
      </c>
      <c r="AD369" s="36">
        <f t="shared" si="263"/>
        <v>181597.47107251314</v>
      </c>
      <c r="AE369" s="36">
        <f t="shared" si="268"/>
        <v>7566.561294688047</v>
      </c>
      <c r="AG369" s="1">
        <f t="shared" si="244"/>
        <v>8100000000</v>
      </c>
      <c r="AH369" s="1">
        <f t="shared" si="264"/>
        <v>8100000</v>
      </c>
      <c r="AI369" s="1">
        <f t="shared" si="265"/>
        <v>8108100000</v>
      </c>
      <c r="AJ369" s="1">
        <f t="shared" si="266"/>
        <v>437540137438.24036</v>
      </c>
      <c r="AK369" s="1">
        <f t="shared" si="267"/>
        <v>437977677575.6786</v>
      </c>
      <c r="AL369" s="39">
        <f>+AJ369/('Volcano Summary'!C$8)*10^6</f>
        <v>30375.295592589977</v>
      </c>
      <c r="AM369" s="1">
        <f t="shared" si="245"/>
        <v>7566.561294688047</v>
      </c>
    </row>
    <row r="370" spans="1:39" ht="12.75" hidden="1">
      <c r="A370" s="1">
        <f t="shared" si="258"/>
        <v>1303083.715398015</v>
      </c>
      <c r="B370" s="1">
        <f t="shared" si="259"/>
        <v>7581.321892370818</v>
      </c>
      <c r="C370" s="1">
        <f t="shared" si="237"/>
        <v>11000</v>
      </c>
      <c r="D370" s="1">
        <f t="shared" si="246"/>
        <v>118.34540545406395</v>
      </c>
      <c r="E370" s="38">
        <f t="shared" si="238"/>
        <v>1249464408.0790188</v>
      </c>
      <c r="F370" s="38">
        <f t="shared" si="239"/>
        <v>803340683.9571571</v>
      </c>
      <c r="G370" s="38">
        <f t="shared" si="240"/>
        <v>357216959.83529556</v>
      </c>
      <c r="H370" s="18">
        <f t="shared" si="247"/>
        <v>0.0042249210950067355</v>
      </c>
      <c r="I370" s="50">
        <f t="shared" si="255"/>
        <v>0.029098631403762867</v>
      </c>
      <c r="J370" s="3">
        <f t="shared" si="248"/>
        <v>13.79394216535832</v>
      </c>
      <c r="K370" s="12">
        <f t="shared" si="257"/>
        <v>0.8934667276378827</v>
      </c>
      <c r="L370" s="3">
        <f t="shared" si="249"/>
        <v>1411.7483200038266</v>
      </c>
      <c r="M370" s="12">
        <f t="shared" si="256"/>
        <v>0.7486606240748287</v>
      </c>
      <c r="N370" s="37">
        <f t="shared" si="250"/>
        <v>15560.260476208423</v>
      </c>
      <c r="O370" s="1">
        <f t="shared" si="241"/>
        <v>166609.95264264906</v>
      </c>
      <c r="P370">
        <f t="shared" si="251"/>
        <v>408.17882434375383</v>
      </c>
      <c r="Q370" s="1">
        <f t="shared" si="252"/>
        <v>6351.368827661334</v>
      </c>
      <c r="R370" s="1">
        <f>+Q370*1000/'Material Properties'!AE$35</f>
        <v>5446847.608546787</v>
      </c>
      <c r="S370" s="1">
        <f t="shared" si="253"/>
        <v>495.1679644133443</v>
      </c>
      <c r="T370" s="1">
        <f t="shared" si="254"/>
        <v>150.3981682817291</v>
      </c>
      <c r="U370">
        <f t="shared" si="242"/>
        <v>5.66953327817378E-05</v>
      </c>
      <c r="V370">
        <f>+'Material Properties'!AE$31+'Material Properties'!AE$33</f>
        <v>0.00029034311030761144</v>
      </c>
      <c r="W370">
        <f t="shared" si="260"/>
        <v>0.00034703844308934926</v>
      </c>
      <c r="X370" s="1">
        <f>+'Volcano Summary'!E$12*10^9/Q370/3600/24/365</f>
        <v>0</v>
      </c>
      <c r="Y370" s="3">
        <f t="shared" si="261"/>
        <v>200</v>
      </c>
      <c r="Z370" s="1">
        <f>+Y370*'Volcano Summary'!B$19*'Volcano Summary'!B$20/1000</f>
        <v>8100000</v>
      </c>
      <c r="AA370" s="1">
        <f t="shared" si="243"/>
        <v>1275315.6397913892</v>
      </c>
      <c r="AB370" s="3">
        <f t="shared" si="269"/>
        <v>354.254344386497</v>
      </c>
      <c r="AC370" s="1">
        <f t="shared" si="262"/>
        <v>655026211.5008384</v>
      </c>
      <c r="AD370" s="36">
        <f t="shared" si="263"/>
        <v>181951.72541689963</v>
      </c>
      <c r="AE370" s="36">
        <f t="shared" si="268"/>
        <v>7581.321892370818</v>
      </c>
      <c r="AG370" s="1">
        <f t="shared" si="244"/>
        <v>8100000000</v>
      </c>
      <c r="AH370" s="1">
        <f t="shared" si="264"/>
        <v>8100000</v>
      </c>
      <c r="AI370" s="1">
        <f t="shared" si="265"/>
        <v>8108100000</v>
      </c>
      <c r="AJ370" s="1">
        <f t="shared" si="266"/>
        <v>445640137438.24036</v>
      </c>
      <c r="AK370" s="1">
        <f t="shared" si="267"/>
        <v>446085777575.6786</v>
      </c>
      <c r="AL370" s="39">
        <f>+AJ370/('Volcano Summary'!C$8)*10^6</f>
        <v>30937.620904595686</v>
      </c>
      <c r="AM370" s="1">
        <f t="shared" si="245"/>
        <v>7581.321892370818</v>
      </c>
    </row>
    <row r="371" spans="1:39" ht="12.75" hidden="1">
      <c r="A371" s="1">
        <f t="shared" si="258"/>
        <v>1275315.6397913892</v>
      </c>
      <c r="B371" s="1">
        <f t="shared" si="259"/>
        <v>7595.773474029188</v>
      </c>
      <c r="C371" s="1">
        <f t="shared" si="237"/>
        <v>11200</v>
      </c>
      <c r="D371" s="1">
        <f t="shared" si="246"/>
        <v>119.41642642883693</v>
      </c>
      <c r="E371" s="38">
        <f t="shared" si="238"/>
        <v>1260772008.7682943</v>
      </c>
      <c r="F371" s="38">
        <f t="shared" si="239"/>
        <v>810610883.5826132</v>
      </c>
      <c r="G371" s="38">
        <f t="shared" si="240"/>
        <v>360449758.3969325</v>
      </c>
      <c r="H371" s="18">
        <f t="shared" si="247"/>
        <v>0.0041870286605667426</v>
      </c>
      <c r="I371" s="50">
        <f t="shared" si="255"/>
        <v>0.029050755540672383</v>
      </c>
      <c r="J371" s="3">
        <f t="shared" si="248"/>
        <v>13.663634605991335</v>
      </c>
      <c r="K371" s="12">
        <f t="shared" si="257"/>
        <v>0.8905999613318091</v>
      </c>
      <c r="L371" s="3">
        <f t="shared" si="249"/>
        <v>1407.2186017823738</v>
      </c>
      <c r="M371" s="12">
        <f t="shared" si="256"/>
        <v>0.7478136249389432</v>
      </c>
      <c r="N371" s="37">
        <f t="shared" si="250"/>
        <v>15843.174303048578</v>
      </c>
      <c r="O371" s="1">
        <f t="shared" si="241"/>
        <v>167659.20013382618</v>
      </c>
      <c r="P371">
        <f t="shared" si="251"/>
        <v>409.4620863203652</v>
      </c>
      <c r="Q371" s="1">
        <f t="shared" si="252"/>
        <v>6487.179204063468</v>
      </c>
      <c r="R371" s="1">
        <f>+Q371*1000/'Material Properties'!AE$35</f>
        <v>5563316.742050751</v>
      </c>
      <c r="S371" s="1">
        <f t="shared" si="253"/>
        <v>496.7247091116742</v>
      </c>
      <c r="T371" s="1">
        <f t="shared" si="254"/>
        <v>153.9497694495892</v>
      </c>
      <c r="U371">
        <f t="shared" si="242"/>
        <v>5.539498076419483E-05</v>
      </c>
      <c r="V371">
        <f>+'Material Properties'!AE$31+'Material Properties'!AE$33</f>
        <v>0.00029034311030761144</v>
      </c>
      <c r="W371">
        <f t="shared" si="260"/>
        <v>0.0003457380910718063</v>
      </c>
      <c r="X371" s="1">
        <f>+'Volcano Summary'!E$12*10^9/Q371/3600/24/365</f>
        <v>0</v>
      </c>
      <c r="Y371" s="3">
        <f t="shared" si="261"/>
        <v>200</v>
      </c>
      <c r="Z371" s="1">
        <f>+Y371*'Volcano Summary'!B$19*'Volcano Summary'!B$20/1000</f>
        <v>8100000</v>
      </c>
      <c r="AA371" s="1">
        <f t="shared" si="243"/>
        <v>1248616.655283129</v>
      </c>
      <c r="AB371" s="3">
        <f t="shared" si="269"/>
        <v>346.8379598008692</v>
      </c>
      <c r="AC371" s="1">
        <f t="shared" si="262"/>
        <v>656274828.1561215</v>
      </c>
      <c r="AD371" s="36">
        <f t="shared" si="263"/>
        <v>182298.5633767005</v>
      </c>
      <c r="AE371" s="36">
        <f t="shared" si="268"/>
        <v>7595.773474029188</v>
      </c>
      <c r="AG371" s="1">
        <f t="shared" si="244"/>
        <v>8099999999.999999</v>
      </c>
      <c r="AH371" s="1">
        <f t="shared" si="264"/>
        <v>8100000</v>
      </c>
      <c r="AI371" s="1">
        <f t="shared" si="265"/>
        <v>8108099999.999999</v>
      </c>
      <c r="AJ371" s="1">
        <f t="shared" si="266"/>
        <v>453740137438.24036</v>
      </c>
      <c r="AK371" s="1">
        <f t="shared" si="267"/>
        <v>454193877575.6786</v>
      </c>
      <c r="AL371" s="39">
        <f>+AJ371/('Volcano Summary'!C$8)*10^6</f>
        <v>31499.94621660139</v>
      </c>
      <c r="AM371" s="1">
        <f t="shared" si="245"/>
        <v>7595.773474029188</v>
      </c>
    </row>
    <row r="372" spans="1:39" ht="12.75" hidden="1">
      <c r="A372" s="1">
        <f t="shared" si="258"/>
        <v>1248616.655283129</v>
      </c>
      <c r="B372" s="1">
        <f t="shared" si="259"/>
        <v>7609.927731635548</v>
      </c>
      <c r="C372" s="1">
        <f t="shared" si="237"/>
        <v>11400</v>
      </c>
      <c r="D372" s="1">
        <f t="shared" si="246"/>
        <v>120.47792665040703</v>
      </c>
      <c r="E372" s="38">
        <f t="shared" si="238"/>
        <v>1271979091.467712</v>
      </c>
      <c r="F372" s="38">
        <f t="shared" si="239"/>
        <v>817816455.3641708</v>
      </c>
      <c r="G372" s="38">
        <f t="shared" si="240"/>
        <v>363653819.26062983</v>
      </c>
      <c r="H372" s="18">
        <f t="shared" si="247"/>
        <v>0.0041501378211036034</v>
      </c>
      <c r="I372" s="50">
        <f t="shared" si="255"/>
        <v>0.029003880217058395</v>
      </c>
      <c r="J372" s="3">
        <f t="shared" si="248"/>
        <v>13.537010024757263</v>
      </c>
      <c r="K372" s="12">
        <f t="shared" si="257"/>
        <v>0.8878142205446595</v>
      </c>
      <c r="L372" s="3">
        <f t="shared" si="249"/>
        <v>1402.8169103096295</v>
      </c>
      <c r="M372" s="12">
        <f t="shared" si="256"/>
        <v>0.7469905651609218</v>
      </c>
      <c r="N372" s="37">
        <f t="shared" si="250"/>
        <v>16126.08812988873</v>
      </c>
      <c r="O372" s="1">
        <f t="shared" si="241"/>
        <v>168698.14380331515</v>
      </c>
      <c r="P372">
        <f t="shared" si="251"/>
        <v>410.72879592660064</v>
      </c>
      <c r="Q372" s="1">
        <f t="shared" si="252"/>
        <v>6623.4487605954455</v>
      </c>
      <c r="R372" s="1">
        <f>+Q372*1000/'Material Properties'!AE$35</f>
        <v>5680179.662195043</v>
      </c>
      <c r="S372" s="1">
        <f t="shared" si="253"/>
        <v>498.2613738767581</v>
      </c>
      <c r="T372" s="1">
        <f t="shared" si="254"/>
        <v>157.3761085162182</v>
      </c>
      <c r="U372">
        <f t="shared" si="242"/>
        <v>5.419579796606536E-05</v>
      </c>
      <c r="V372">
        <f>+'Material Properties'!AE$31+'Material Properties'!AE$33</f>
        <v>0.00029034311030761144</v>
      </c>
      <c r="W372">
        <f t="shared" si="260"/>
        <v>0.0003445389082736768</v>
      </c>
      <c r="X372" s="1">
        <f>+'Volcano Summary'!E$12*10^9/Q372/3600/24/365</f>
        <v>0</v>
      </c>
      <c r="Y372" s="3">
        <f t="shared" si="261"/>
        <v>200</v>
      </c>
      <c r="Z372" s="1">
        <f>+Y372*'Volcano Summary'!B$19*'Volcano Summary'!B$20/1000</f>
        <v>8100000</v>
      </c>
      <c r="AA372" s="1">
        <f t="shared" si="243"/>
        <v>1222927.8571895848</v>
      </c>
      <c r="AB372" s="3">
        <f t="shared" si="269"/>
        <v>339.7021825526624</v>
      </c>
      <c r="AC372" s="1">
        <f t="shared" si="262"/>
        <v>657497756.013311</v>
      </c>
      <c r="AD372" s="36">
        <f t="shared" si="263"/>
        <v>182638.26555925317</v>
      </c>
      <c r="AE372" s="36">
        <f t="shared" si="268"/>
        <v>7609.927731635548</v>
      </c>
      <c r="AG372" s="1">
        <f t="shared" si="244"/>
        <v>8099999999.999999</v>
      </c>
      <c r="AH372" s="1">
        <f t="shared" si="264"/>
        <v>8100000</v>
      </c>
      <c r="AI372" s="1">
        <f t="shared" si="265"/>
        <v>8108099999.999999</v>
      </c>
      <c r="AJ372" s="1">
        <f t="shared" si="266"/>
        <v>461840137438.24036</v>
      </c>
      <c r="AK372" s="1">
        <f t="shared" si="267"/>
        <v>462301977575.6786</v>
      </c>
      <c r="AL372" s="39">
        <f>+AJ372/('Volcano Summary'!C$8)*10^6</f>
        <v>32062.2715286071</v>
      </c>
      <c r="AM372" s="1">
        <f t="shared" si="245"/>
        <v>7609.927731635548</v>
      </c>
    </row>
    <row r="373" spans="1:39" ht="12.75" hidden="1">
      <c r="A373" s="1">
        <f t="shared" si="258"/>
        <v>1222927.8571895848</v>
      </c>
      <c r="B373" s="1">
        <f t="shared" si="259"/>
        <v>7623.795723917175</v>
      </c>
      <c r="C373" s="1">
        <f t="shared" si="237"/>
        <v>11600</v>
      </c>
      <c r="D373" s="1">
        <f t="shared" si="246"/>
        <v>121.53015559492997</v>
      </c>
      <c r="E373" s="38">
        <f t="shared" si="238"/>
        <v>1283088290.090909</v>
      </c>
      <c r="F373" s="38">
        <f t="shared" si="239"/>
        <v>824959092.7714226</v>
      </c>
      <c r="G373" s="38">
        <f t="shared" si="240"/>
        <v>366829895.4519365</v>
      </c>
      <c r="H373" s="18">
        <f t="shared" si="247"/>
        <v>0.00411420521558897</v>
      </c>
      <c r="I373" s="50">
        <f t="shared" si="255"/>
        <v>0.02895796727399745</v>
      </c>
      <c r="J373" s="3">
        <f t="shared" si="248"/>
        <v>13.413901999153504</v>
      </c>
      <c r="K373" s="12">
        <f t="shared" si="257"/>
        <v>0.8851058439813768</v>
      </c>
      <c r="L373" s="3">
        <f t="shared" si="249"/>
        <v>1398.5374604489048</v>
      </c>
      <c r="M373" s="12">
        <f t="shared" si="256"/>
        <v>0.7461903629944974</v>
      </c>
      <c r="N373" s="37">
        <f t="shared" si="250"/>
        <v>16409.001956728884</v>
      </c>
      <c r="O373" s="1">
        <f t="shared" si="241"/>
        <v>169727.0397485752</v>
      </c>
      <c r="P373">
        <f t="shared" si="251"/>
        <v>411.97941665643344</v>
      </c>
      <c r="Q373" s="1">
        <f t="shared" si="252"/>
        <v>6760.1710540474405</v>
      </c>
      <c r="R373" s="1">
        <f>+Q373*1000/'Material Properties'!AE$35</f>
        <v>5797430.843370463</v>
      </c>
      <c r="S373" s="1">
        <f t="shared" si="253"/>
        <v>499.7785209802123</v>
      </c>
      <c r="T373" s="1">
        <f t="shared" si="254"/>
        <v>160.68378117870543</v>
      </c>
      <c r="U373">
        <f t="shared" si="242"/>
        <v>5.3086392318751175E-05</v>
      </c>
      <c r="V373">
        <f>+'Material Properties'!AE$31+'Material Properties'!AE$33</f>
        <v>0.00029034311030761144</v>
      </c>
      <c r="W373">
        <f t="shared" si="260"/>
        <v>0.00034342950262636264</v>
      </c>
      <c r="X373" s="1">
        <f>+'Volcano Summary'!E$12*10^9/Q373/3600/24/365</f>
        <v>0</v>
      </c>
      <c r="Y373" s="3">
        <f t="shared" si="261"/>
        <v>200</v>
      </c>
      <c r="Z373" s="1">
        <f>+Y373*'Volcano Summary'!B$19*'Volcano Summary'!B$20/1000</f>
        <v>8100000</v>
      </c>
      <c r="AA373" s="1">
        <f t="shared" si="243"/>
        <v>1198194.5331324684</v>
      </c>
      <c r="AB373" s="3">
        <f t="shared" si="269"/>
        <v>332.831814759019</v>
      </c>
      <c r="AC373" s="1">
        <f t="shared" si="262"/>
        <v>658695950.5464435</v>
      </c>
      <c r="AD373" s="36">
        <f t="shared" si="263"/>
        <v>182971.0973740122</v>
      </c>
      <c r="AE373" s="36">
        <f t="shared" si="268"/>
        <v>7623.795723917175</v>
      </c>
      <c r="AG373" s="1">
        <f t="shared" si="244"/>
        <v>8099999999.999999</v>
      </c>
      <c r="AH373" s="1">
        <f t="shared" si="264"/>
        <v>8100000</v>
      </c>
      <c r="AI373" s="1">
        <f t="shared" si="265"/>
        <v>8108099999.999999</v>
      </c>
      <c r="AJ373" s="1">
        <f t="shared" si="266"/>
        <v>469940137438.24036</v>
      </c>
      <c r="AK373" s="1">
        <f t="shared" si="267"/>
        <v>470410077575.6786</v>
      </c>
      <c r="AL373" s="39">
        <f>+AJ373/('Volcano Summary'!C$8)*10^6</f>
        <v>32624.59684061281</v>
      </c>
      <c r="AM373" s="1">
        <f t="shared" si="245"/>
        <v>7623.795723917175</v>
      </c>
    </row>
    <row r="374" spans="1:39" ht="12.75" hidden="1">
      <c r="A374" s="1">
        <f t="shared" si="258"/>
        <v>1198194.5331324684</v>
      </c>
      <c r="B374" s="1">
        <f t="shared" si="259"/>
        <v>7637.387920669582</v>
      </c>
      <c r="C374" s="1">
        <f t="shared" si="237"/>
        <v>11800</v>
      </c>
      <c r="D374" s="1">
        <f t="shared" si="246"/>
        <v>122.57335203001882</v>
      </c>
      <c r="E374" s="38">
        <f t="shared" si="238"/>
        <v>1294102125.4931152</v>
      </c>
      <c r="F374" s="38">
        <f t="shared" si="239"/>
        <v>832040416.5832814</v>
      </c>
      <c r="G374" s="38">
        <f t="shared" si="240"/>
        <v>369978707.6734478</v>
      </c>
      <c r="H374" s="18">
        <f t="shared" si="247"/>
        <v>0.004079190066349393</v>
      </c>
      <c r="I374" s="50">
        <f t="shared" si="255"/>
        <v>0.028912980639696214</v>
      </c>
      <c r="J374" s="3">
        <f t="shared" si="248"/>
        <v>13.294154341400112</v>
      </c>
      <c r="K374" s="12">
        <f t="shared" si="257"/>
        <v>0.8824713955108022</v>
      </c>
      <c r="L374" s="3">
        <f t="shared" si="249"/>
        <v>1394.374822840336</v>
      </c>
      <c r="M374" s="12">
        <f t="shared" si="256"/>
        <v>0.7454120032191003</v>
      </c>
      <c r="N374" s="37">
        <f t="shared" si="250"/>
        <v>16691.915783569035</v>
      </c>
      <c r="O374" s="1">
        <f t="shared" si="241"/>
        <v>170746.13352881258</v>
      </c>
      <c r="P374">
        <f t="shared" si="251"/>
        <v>413.2143917251825</v>
      </c>
      <c r="Q374" s="1">
        <f t="shared" si="252"/>
        <v>6897.339827235452</v>
      </c>
      <c r="R374" s="1">
        <f>+Q374*1000/'Material Properties'!AE$35</f>
        <v>5915064.919501029</v>
      </c>
      <c r="S374" s="1">
        <f t="shared" si="253"/>
        <v>501.27668809330754</v>
      </c>
      <c r="T374" s="1">
        <f t="shared" si="254"/>
        <v>163.87892706329717</v>
      </c>
      <c r="U374">
        <f t="shared" si="242"/>
        <v>5.205702059648038E-05</v>
      </c>
      <c r="V374">
        <f>+'Material Properties'!AE$31+'Material Properties'!AE$33</f>
        <v>0.00029034311030761144</v>
      </c>
      <c r="W374">
        <f t="shared" si="260"/>
        <v>0.0003424001309040918</v>
      </c>
      <c r="X374" s="1">
        <f>+'Volcano Summary'!E$12*10^9/Q374/3600/24/365</f>
        <v>0</v>
      </c>
      <c r="Y374" s="3">
        <f t="shared" si="261"/>
        <v>200</v>
      </c>
      <c r="Z374" s="1">
        <f>+Y374*'Volcano Summary'!B$19*'Volcano Summary'!B$20/1000</f>
        <v>8100000</v>
      </c>
      <c r="AA374" s="1">
        <f t="shared" si="243"/>
        <v>1174365.7994080004</v>
      </c>
      <c r="AB374" s="3">
        <f t="shared" si="269"/>
        <v>326.2127220577779</v>
      </c>
      <c r="AC374" s="1">
        <f t="shared" si="262"/>
        <v>659870316.3458514</v>
      </c>
      <c r="AD374" s="36">
        <f t="shared" si="263"/>
        <v>183297.31009606997</v>
      </c>
      <c r="AE374" s="36">
        <f t="shared" si="268"/>
        <v>7637.387920669582</v>
      </c>
      <c r="AG374" s="1">
        <f t="shared" si="244"/>
        <v>8100000000.000001</v>
      </c>
      <c r="AH374" s="1">
        <f t="shared" si="264"/>
        <v>8100000</v>
      </c>
      <c r="AI374" s="1">
        <f t="shared" si="265"/>
        <v>8108100000.000001</v>
      </c>
      <c r="AJ374" s="1">
        <f t="shared" si="266"/>
        <v>478040137438.24036</v>
      </c>
      <c r="AK374" s="1">
        <f t="shared" si="267"/>
        <v>478518177575.6786</v>
      </c>
      <c r="AL374" s="39">
        <f>+AJ374/('Volcano Summary'!C$8)*10^6</f>
        <v>33186.922152618514</v>
      </c>
      <c r="AM374" s="1">
        <f t="shared" si="245"/>
        <v>7637.387920669582</v>
      </c>
    </row>
    <row r="375" spans="1:39" ht="12.75" hidden="1">
      <c r="A375" s="1">
        <f t="shared" si="258"/>
        <v>1174365.7994080004</v>
      </c>
      <c r="B375" s="1">
        <f t="shared" si="259"/>
        <v>7650.714243289708</v>
      </c>
      <c r="C375" s="1">
        <f t="shared" si="237"/>
        <v>12000</v>
      </c>
      <c r="D375" s="1">
        <f t="shared" si="246"/>
        <v>123.60774464742067</v>
      </c>
      <c r="E375" s="38">
        <f t="shared" si="238"/>
        <v>1305023012.1508148</v>
      </c>
      <c r="F375" s="38">
        <f t="shared" si="239"/>
        <v>839061979.1826541</v>
      </c>
      <c r="G375" s="38">
        <f t="shared" si="240"/>
        <v>373100946.2144936</v>
      </c>
      <c r="H375" s="18">
        <f t="shared" si="247"/>
        <v>0.00404505398449104</v>
      </c>
      <c r="I375" s="50">
        <f t="shared" si="255"/>
        <v>0.02886888618201624</v>
      </c>
      <c r="J375" s="3">
        <f t="shared" si="248"/>
        <v>13.177620307838312</v>
      </c>
      <c r="K375" s="12">
        <f t="shared" si="257"/>
        <v>0.8799076467724426</v>
      </c>
      <c r="L375" s="3">
        <f t="shared" si="249"/>
        <v>1390.323896418196</v>
      </c>
      <c r="M375" s="12">
        <f t="shared" si="256"/>
        <v>0.7446545320009487</v>
      </c>
      <c r="N375" s="37">
        <f t="shared" si="250"/>
        <v>16974.829610409193</v>
      </c>
      <c r="O375" s="1">
        <f t="shared" si="241"/>
        <v>171755.66076796644</v>
      </c>
      <c r="P375">
        <f t="shared" si="251"/>
        <v>414.434145272764</v>
      </c>
      <c r="Q375" s="1">
        <f t="shared" si="252"/>
        <v>7034.949000740739</v>
      </c>
      <c r="R375" s="1">
        <f>+Q375*1000/'Material Properties'!AE$35</f>
        <v>6033076.676959832</v>
      </c>
      <c r="S375" s="1">
        <f t="shared" si="253"/>
        <v>502.7563897466527</v>
      </c>
      <c r="T375" s="1">
        <f t="shared" si="254"/>
        <v>166.96726846936804</v>
      </c>
      <c r="U375">
        <f t="shared" si="242"/>
        <v>5.109930052603001E-05</v>
      </c>
      <c r="V375">
        <f>+'Material Properties'!AE$31+'Material Properties'!AE$33</f>
        <v>0.00029034311030761144</v>
      </c>
      <c r="W375">
        <f t="shared" si="260"/>
        <v>0.0003414424108336415</v>
      </c>
      <c r="X375" s="1">
        <f>+'Volcano Summary'!E$12*10^9/Q375/3600/24/365</f>
        <v>0</v>
      </c>
      <c r="Y375" s="3">
        <f t="shared" si="261"/>
        <v>200</v>
      </c>
      <c r="Z375" s="1">
        <f>+Y375*'Volcano Summary'!B$19*'Volcano Summary'!B$20/1000</f>
        <v>8100000</v>
      </c>
      <c r="AA375" s="1">
        <f t="shared" si="243"/>
        <v>1151394.274378836</v>
      </c>
      <c r="AB375" s="3">
        <f t="shared" si="269"/>
        <v>319.83174288300995</v>
      </c>
      <c r="AC375" s="1">
        <f t="shared" si="262"/>
        <v>661021710.6202302</v>
      </c>
      <c r="AD375" s="36">
        <f t="shared" si="263"/>
        <v>183617.141838953</v>
      </c>
      <c r="AE375" s="36">
        <f t="shared" si="268"/>
        <v>7650.714243289708</v>
      </c>
      <c r="AG375" s="1">
        <f t="shared" si="244"/>
        <v>8100000000.000001</v>
      </c>
      <c r="AH375" s="1">
        <f t="shared" si="264"/>
        <v>8100000</v>
      </c>
      <c r="AI375" s="1">
        <f t="shared" si="265"/>
        <v>8108100000.000001</v>
      </c>
      <c r="AJ375" s="1">
        <f t="shared" si="266"/>
        <v>486140137438.24036</v>
      </c>
      <c r="AK375" s="1">
        <f t="shared" si="267"/>
        <v>486626277575.6786</v>
      </c>
      <c r="AL375" s="39">
        <f>+AJ375/('Volcano Summary'!C$8)*10^6</f>
        <v>33749.247464624226</v>
      </c>
      <c r="AM375" s="1">
        <f t="shared" si="245"/>
        <v>7650.714243289708</v>
      </c>
    </row>
    <row r="376" spans="1:39" ht="12.75" hidden="1">
      <c r="A376" s="1">
        <f t="shared" si="258"/>
        <v>1151394.274378836</v>
      </c>
      <c r="B376" s="1">
        <f t="shared" si="259"/>
        <v>7663.784101907517</v>
      </c>
      <c r="C376" s="1">
        <f t="shared" si="237"/>
        <v>12200</v>
      </c>
      <c r="D376" s="1">
        <f t="shared" si="246"/>
        <v>124.63355264843005</v>
      </c>
      <c r="E376" s="38">
        <f t="shared" si="238"/>
        <v>1315853264.3424082</v>
      </c>
      <c r="F376" s="38">
        <f t="shared" si="239"/>
        <v>846025268.530287</v>
      </c>
      <c r="G376" s="38">
        <f t="shared" si="240"/>
        <v>376197272.718166</v>
      </c>
      <c r="H376" s="18">
        <f t="shared" si="247"/>
        <v>0.004011760792941645</v>
      </c>
      <c r="I376" s="50">
        <f t="shared" si="255"/>
        <v>0.028825651573692813</v>
      </c>
      <c r="J376" s="3">
        <f t="shared" si="248"/>
        <v>13.064161881433744</v>
      </c>
      <c r="K376" s="12">
        <f t="shared" si="257"/>
        <v>0.8774115613915421</v>
      </c>
      <c r="L376" s="3">
        <f t="shared" si="249"/>
        <v>1386.3798834694558</v>
      </c>
      <c r="M376" s="12">
        <f t="shared" si="256"/>
        <v>0.7439170522293189</v>
      </c>
      <c r="N376" s="37">
        <f t="shared" si="250"/>
        <v>17257.743437249344</v>
      </c>
      <c r="O376" s="1">
        <f t="shared" si="241"/>
        <v>172755.84771377983</v>
      </c>
      <c r="P376">
        <f t="shared" si="251"/>
        <v>415.63908347721565</v>
      </c>
      <c r="Q376" s="1">
        <f t="shared" si="252"/>
        <v>7172.992665143251</v>
      </c>
      <c r="R376" s="1">
        <f>+Q376*1000/'Material Properties'!AE$35</f>
        <v>6151461.04790853</v>
      </c>
      <c r="S376" s="1">
        <f t="shared" si="253"/>
        <v>504.218118681027</v>
      </c>
      <c r="T376" s="1">
        <f t="shared" si="254"/>
        <v>169.95414523269642</v>
      </c>
      <c r="U376">
        <f t="shared" si="242"/>
        <v>5.0205981179544965E-05</v>
      </c>
      <c r="V376">
        <f>+'Material Properties'!AE$31+'Material Properties'!AE$33</f>
        <v>0.00029034311030761144</v>
      </c>
      <c r="W376">
        <f t="shared" si="260"/>
        <v>0.0003405490914871564</v>
      </c>
      <c r="X376" s="1">
        <f>+'Volcano Summary'!E$12*10^9/Q376/3600/24/365</f>
        <v>0</v>
      </c>
      <c r="Y376" s="3">
        <f t="shared" si="261"/>
        <v>200</v>
      </c>
      <c r="Z376" s="1">
        <f>+Y376*'Volcano Summary'!B$19*'Volcano Summary'!B$20/1000</f>
        <v>8100000</v>
      </c>
      <c r="AA376" s="1">
        <f t="shared" si="243"/>
        <v>1129235.7845786584</v>
      </c>
      <c r="AB376" s="3">
        <f t="shared" si="269"/>
        <v>313.6766068274051</v>
      </c>
      <c r="AC376" s="1">
        <f t="shared" si="262"/>
        <v>662150946.4048089</v>
      </c>
      <c r="AD376" s="36">
        <f t="shared" si="263"/>
        <v>183930.8184457804</v>
      </c>
      <c r="AE376" s="36">
        <f t="shared" si="268"/>
        <v>7663.784101907517</v>
      </c>
      <c r="AG376" s="1">
        <f t="shared" si="244"/>
        <v>8100000000.000001</v>
      </c>
      <c r="AH376" s="1">
        <f t="shared" si="264"/>
        <v>8100000</v>
      </c>
      <c r="AI376" s="1">
        <f t="shared" si="265"/>
        <v>8108100000.000001</v>
      </c>
      <c r="AJ376" s="1">
        <f t="shared" si="266"/>
        <v>494240137438.24036</v>
      </c>
      <c r="AK376" s="1">
        <f t="shared" si="267"/>
        <v>494734377575.6786</v>
      </c>
      <c r="AL376" s="39">
        <f>+AJ376/('Volcano Summary'!C$8)*10^6</f>
        <v>34311.57277662993</v>
      </c>
      <c r="AM376" s="1">
        <f t="shared" si="245"/>
        <v>7663.784101907517</v>
      </c>
    </row>
    <row r="377" spans="1:39" ht="12.75" hidden="1">
      <c r="A377" s="1">
        <f t="shared" si="258"/>
        <v>1129235.7845786584</v>
      </c>
      <c r="B377" s="1">
        <f t="shared" si="259"/>
        <v>7676.501159581858</v>
      </c>
      <c r="C377" s="1">
        <f t="shared" si="237"/>
        <v>12400</v>
      </c>
      <c r="D377" s="1">
        <f t="shared" si="246"/>
        <v>125.65098628628435</v>
      </c>
      <c r="E377" s="38">
        <f t="shared" si="238"/>
        <v>1326595101.8747044</v>
      </c>
      <c r="F377" s="38">
        <f t="shared" si="239"/>
        <v>852931711.8466028</v>
      </c>
      <c r="G377" s="38">
        <f t="shared" si="240"/>
        <v>379268321.81850094</v>
      </c>
      <c r="H377" s="18">
        <f t="shared" si="247"/>
        <v>0.003979276365255068</v>
      </c>
      <c r="I377" s="50">
        <v>0.028</v>
      </c>
      <c r="J377" s="3">
        <f t="shared" si="248"/>
        <v>12.64197382271419</v>
      </c>
      <c r="K377" s="12">
        <f t="shared" si="257"/>
        <v>0.8681234240997119</v>
      </c>
      <c r="L377" s="3">
        <f t="shared" si="249"/>
        <v>1371.7038895996309</v>
      </c>
      <c r="M377" s="12">
        <f t="shared" si="256"/>
        <v>0.7411728298476419</v>
      </c>
      <c r="N377" s="37">
        <f t="shared" si="250"/>
        <v>17540.657264089496</v>
      </c>
      <c r="O377" s="1">
        <f t="shared" si="241"/>
        <v>176635.3184004178</v>
      </c>
      <c r="P377">
        <f t="shared" si="251"/>
        <v>420.2800475878171</v>
      </c>
      <c r="Q377" s="1">
        <f t="shared" si="252"/>
        <v>7371.988269673122</v>
      </c>
      <c r="R377" s="1">
        <f>+Q377*1000/'Material Properties'!AE$35</f>
        <v>6322116.974537177</v>
      </c>
      <c r="S377" s="1">
        <f t="shared" si="253"/>
        <v>509.84814310783685</v>
      </c>
      <c r="T377" s="1">
        <f t="shared" si="254"/>
        <v>180.89561210950615</v>
      </c>
      <c r="U377">
        <f t="shared" si="242"/>
        <v>4.718430714836521E-05</v>
      </c>
      <c r="V377">
        <f>+'Material Properties'!AE$31+'Material Properties'!AE$33</f>
        <v>0.00029034311030761144</v>
      </c>
      <c r="W377">
        <f t="shared" si="260"/>
        <v>0.00033752741745597664</v>
      </c>
      <c r="X377" s="1">
        <f>+'Volcano Summary'!E$12*10^9/Q377/3600/24/365</f>
        <v>0</v>
      </c>
      <c r="Y377" s="3">
        <f t="shared" si="261"/>
        <v>200</v>
      </c>
      <c r="Z377" s="1">
        <f>+Y377*'Volcano Summary'!B$19*'Volcano Summary'!B$20/1000</f>
        <v>8100000</v>
      </c>
      <c r="AA377" s="1">
        <f t="shared" si="243"/>
        <v>1098753.783063081</v>
      </c>
      <c r="AB377" s="3">
        <f t="shared" si="269"/>
        <v>305.2093841841892</v>
      </c>
      <c r="AC377" s="1">
        <f t="shared" si="262"/>
        <v>663249700.1878719</v>
      </c>
      <c r="AD377" s="36">
        <f t="shared" si="263"/>
        <v>184236.0278299646</v>
      </c>
      <c r="AE377" s="36">
        <f t="shared" si="268"/>
        <v>7676.501159581858</v>
      </c>
      <c r="AG377" s="1">
        <f t="shared" si="244"/>
        <v>8100000000</v>
      </c>
      <c r="AH377" s="1">
        <f t="shared" si="264"/>
        <v>8100000</v>
      </c>
      <c r="AI377" s="1">
        <f t="shared" si="265"/>
        <v>8108100000</v>
      </c>
      <c r="AJ377" s="1">
        <f t="shared" si="266"/>
        <v>502340137438.24036</v>
      </c>
      <c r="AK377" s="1">
        <f t="shared" si="267"/>
        <v>502842477575.6786</v>
      </c>
      <c r="AL377" s="39">
        <f>+AJ377/('Volcano Summary'!C$8)*10^6</f>
        <v>34873.898088635644</v>
      </c>
      <c r="AM377" s="1">
        <f t="shared" si="245"/>
        <v>7676.501159581858</v>
      </c>
    </row>
    <row r="378" spans="1:39" ht="12.75" hidden="1">
      <c r="A378" s="1">
        <f t="shared" si="258"/>
        <v>1098753.783063081</v>
      </c>
      <c r="B378" s="1">
        <f t="shared" si="259"/>
        <v>7688.980973791141</v>
      </c>
      <c r="C378" s="1">
        <f t="shared" si="237"/>
        <v>12600</v>
      </c>
      <c r="D378" s="1">
        <f t="shared" si="246"/>
        <v>126.66024736934257</v>
      </c>
      <c r="E378" s="38">
        <f t="shared" si="238"/>
        <v>1337250655.3953693</v>
      </c>
      <c r="F378" s="38">
        <f t="shared" si="239"/>
        <v>859782679.0273273</v>
      </c>
      <c r="G378" s="38">
        <f t="shared" si="240"/>
        <v>382314702.6592854</v>
      </c>
      <c r="H378" s="18">
        <f t="shared" si="247"/>
        <v>0.00394756847854556</v>
      </c>
      <c r="I378" s="50">
        <f>+I$377*LN(H$377)/LN(H378)</f>
        <v>0.027959526879264607</v>
      </c>
      <c r="J378" s="3">
        <f t="shared" si="248"/>
        <v>12.537214698363229</v>
      </c>
      <c r="K378" s="12">
        <f t="shared" si="257"/>
        <v>0.8658187233639908</v>
      </c>
      <c r="L378" s="3">
        <f t="shared" si="249"/>
        <v>1368.062279575307</v>
      </c>
      <c r="M378" s="12">
        <f t="shared" si="256"/>
        <v>0.7404918955393606</v>
      </c>
      <c r="N378" s="37">
        <f t="shared" si="250"/>
        <v>17823.57109092965</v>
      </c>
      <c r="O378" s="1">
        <f t="shared" si="241"/>
        <v>177638.40604002558</v>
      </c>
      <c r="P378">
        <f t="shared" si="251"/>
        <v>421.4717144008902</v>
      </c>
      <c r="Q378" s="1">
        <f t="shared" si="252"/>
        <v>7512.131064440266</v>
      </c>
      <c r="R378" s="1">
        <f>+Q378*1000/'Material Properties'!AE$35</f>
        <v>6442301.531165035</v>
      </c>
      <c r="S378" s="1">
        <f t="shared" si="253"/>
        <v>511.2937723146853</v>
      </c>
      <c r="T378" s="1">
        <f t="shared" si="254"/>
        <v>183.56834319098357</v>
      </c>
      <c r="U378">
        <f t="shared" si="242"/>
        <v>4.6500661585707074E-05</v>
      </c>
      <c r="V378">
        <f>+'Material Properties'!AE$31+'Material Properties'!AE$33</f>
        <v>0.00029034311030761144</v>
      </c>
      <c r="W378">
        <f t="shared" si="260"/>
        <v>0.0003368437718933185</v>
      </c>
      <c r="X378" s="1">
        <f>+'Volcano Summary'!E$12*10^9/Q378/3600/24/365</f>
        <v>0</v>
      </c>
      <c r="Y378" s="3">
        <f t="shared" si="261"/>
        <v>200</v>
      </c>
      <c r="Z378" s="1">
        <f>+Y378*'Volcano Summary'!B$19*'Volcano Summary'!B$20/1000</f>
        <v>8100000</v>
      </c>
      <c r="AA378" s="1">
        <f t="shared" si="243"/>
        <v>1078255.947682076</v>
      </c>
      <c r="AB378" s="3">
        <f t="shared" si="269"/>
        <v>299.51554102279886</v>
      </c>
      <c r="AC378" s="1">
        <f t="shared" si="262"/>
        <v>664327956.135554</v>
      </c>
      <c r="AD378" s="36">
        <f t="shared" si="263"/>
        <v>184535.54337098738</v>
      </c>
      <c r="AE378" s="36">
        <f t="shared" si="268"/>
        <v>7688.980973791141</v>
      </c>
      <c r="AG378" s="1">
        <f t="shared" si="244"/>
        <v>8100000000</v>
      </c>
      <c r="AH378" s="1">
        <f t="shared" si="264"/>
        <v>8100000</v>
      </c>
      <c r="AI378" s="1">
        <f t="shared" si="265"/>
        <v>8108100000</v>
      </c>
      <c r="AJ378" s="1">
        <f t="shared" si="266"/>
        <v>510440137438.24036</v>
      </c>
      <c r="AK378" s="1">
        <f t="shared" si="267"/>
        <v>510950577575.6786</v>
      </c>
      <c r="AL378" s="39">
        <f>+AJ378/('Volcano Summary'!C$8)*10^6</f>
        <v>35436.22340064135</v>
      </c>
      <c r="AM378" s="1">
        <f t="shared" si="245"/>
        <v>7688.980973791141</v>
      </c>
    </row>
    <row r="379" spans="1:39" ht="12.75" hidden="1">
      <c r="A379" s="1">
        <f t="shared" si="258"/>
        <v>1078255.947682076</v>
      </c>
      <c r="B379" s="1">
        <f t="shared" si="259"/>
        <v>7701.231559144037</v>
      </c>
      <c r="C379" s="1">
        <f t="shared" si="237"/>
        <v>12800</v>
      </c>
      <c r="D379" s="1">
        <f t="shared" si="246"/>
        <v>127.66152972845846</v>
      </c>
      <c r="E379" s="38">
        <f t="shared" si="238"/>
        <v>1347821971.3273454</v>
      </c>
      <c r="F379" s="38">
        <f t="shared" si="239"/>
        <v>866579485.8160676</v>
      </c>
      <c r="G379" s="38">
        <f t="shared" si="240"/>
        <v>385337000.30478996</v>
      </c>
      <c r="H379" s="18">
        <f t="shared" si="247"/>
        <v>0.003916606679110938</v>
      </c>
      <c r="I379" s="50">
        <f aca="true" t="shared" si="270" ref="I379:I443">+I$377*LN(H$377)/LN(H379)</f>
        <v>0.027919805250486384</v>
      </c>
      <c r="J379" s="3">
        <f t="shared" si="248"/>
        <v>12.435089572353162</v>
      </c>
      <c r="K379" s="12">
        <f t="shared" si="257"/>
        <v>0.8635719705917693</v>
      </c>
      <c r="L379" s="3">
        <f t="shared" si="249"/>
        <v>1364.5122319310783</v>
      </c>
      <c r="M379" s="12">
        <f t="shared" si="256"/>
        <v>0.7398280822202952</v>
      </c>
      <c r="N379" s="37">
        <f t="shared" si="250"/>
        <v>18106.484917769805</v>
      </c>
      <c r="O379" s="1">
        <f t="shared" si="241"/>
        <v>178632.5415652124</v>
      </c>
      <c r="P379">
        <f t="shared" si="251"/>
        <v>422.6494310480169</v>
      </c>
      <c r="Q379" s="1">
        <f t="shared" si="252"/>
        <v>7652.6955487749065</v>
      </c>
      <c r="R379" s="1">
        <f>+Q379*1000/'Material Properties'!AE$35</f>
        <v>6562847.723036351</v>
      </c>
      <c r="S379" s="1">
        <f t="shared" si="253"/>
        <v>512.7224783622149</v>
      </c>
      <c r="T379" s="1">
        <f t="shared" si="254"/>
        <v>186.15771490578368</v>
      </c>
      <c r="U379">
        <f t="shared" si="242"/>
        <v>4.5856969889322524E-05</v>
      </c>
      <c r="V379">
        <f>+'Material Properties'!AE$31+'Material Properties'!AE$33</f>
        <v>0.00029034311030761144</v>
      </c>
      <c r="W379">
        <f t="shared" si="260"/>
        <v>0.000336200080196934</v>
      </c>
      <c r="X379" s="1">
        <f>+'Volcano Summary'!E$12*10^9/Q379/3600/24/365</f>
        <v>0</v>
      </c>
      <c r="Y379" s="3">
        <f t="shared" si="261"/>
        <v>200</v>
      </c>
      <c r="Z379" s="1">
        <f>+Y379*'Volcano Summary'!B$19*'Volcano Summary'!B$20/1000</f>
        <v>8100000</v>
      </c>
      <c r="AA379" s="1">
        <f t="shared" si="243"/>
        <v>1058450.574490279</v>
      </c>
      <c r="AB379" s="3">
        <f t="shared" si="269"/>
        <v>294.0140484695219</v>
      </c>
      <c r="AC379" s="1">
        <f t="shared" si="262"/>
        <v>665386406.7100443</v>
      </c>
      <c r="AD379" s="36">
        <f t="shared" si="263"/>
        <v>184829.5574194569</v>
      </c>
      <c r="AE379" s="36">
        <f t="shared" si="268"/>
        <v>7701.231559144037</v>
      </c>
      <c r="AG379" s="1">
        <f t="shared" si="244"/>
        <v>8100000000</v>
      </c>
      <c r="AH379" s="1">
        <f t="shared" si="264"/>
        <v>8100000</v>
      </c>
      <c r="AI379" s="1">
        <f t="shared" si="265"/>
        <v>8108100000</v>
      </c>
      <c r="AJ379" s="1">
        <f t="shared" si="266"/>
        <v>518540137438.24036</v>
      </c>
      <c r="AK379" s="1">
        <f t="shared" si="267"/>
        <v>519058677575.6786</v>
      </c>
      <c r="AL379" s="39">
        <f>+AJ379/('Volcano Summary'!C$8)*10^6</f>
        <v>35998.548712647054</v>
      </c>
      <c r="AM379" s="1">
        <f t="shared" si="245"/>
        <v>7701.231559144037</v>
      </c>
    </row>
    <row r="380" spans="1:39" ht="12.75" hidden="1">
      <c r="A380" s="1">
        <f t="shared" si="258"/>
        <v>1058450.574490279</v>
      </c>
      <c r="B380" s="1">
        <f t="shared" si="259"/>
        <v>7713.260542116437</v>
      </c>
      <c r="C380" s="1">
        <f t="shared" si="237"/>
        <v>13000</v>
      </c>
      <c r="D380" s="1">
        <f t="shared" si="246"/>
        <v>128.65501965161374</v>
      </c>
      <c r="E380" s="38">
        <f t="shared" si="238"/>
        <v>1358311016.4576144</v>
      </c>
      <c r="F380" s="38">
        <f t="shared" si="239"/>
        <v>873323396.7546455</v>
      </c>
      <c r="G380" s="38">
        <f t="shared" si="240"/>
        <v>388335777.05167675</v>
      </c>
      <c r="H380" s="18">
        <f t="shared" si="247"/>
        <v>0.0038863621594707703</v>
      </c>
      <c r="I380" s="50">
        <f t="shared" si="270"/>
        <v>0.02788080958421136</v>
      </c>
      <c r="J380" s="3">
        <f t="shared" si="248"/>
        <v>12.335492334348903</v>
      </c>
      <c r="K380" s="12">
        <f t="shared" si="257"/>
        <v>0.8613808313556757</v>
      </c>
      <c r="L380" s="3">
        <f t="shared" si="249"/>
        <v>1361.0500580864766</v>
      </c>
      <c r="M380" s="12">
        <f t="shared" si="256"/>
        <v>0.7391807001732675</v>
      </c>
      <c r="N380" s="37">
        <f t="shared" si="250"/>
        <v>18389.398744609956</v>
      </c>
      <c r="O380" s="1">
        <f t="shared" si="241"/>
        <v>179617.9240953462</v>
      </c>
      <c r="P380">
        <f t="shared" si="251"/>
        <v>423.81354873970963</v>
      </c>
      <c r="Q380" s="1">
        <f t="shared" si="252"/>
        <v>7793.676341142706</v>
      </c>
      <c r="R380" s="1">
        <f>+Q380*1000/'Material Properties'!AE$35</f>
        <v>6683750.935020394</v>
      </c>
      <c r="S380" s="1">
        <f t="shared" si="253"/>
        <v>514.134687309261</v>
      </c>
      <c r="T380" s="1">
        <f t="shared" si="254"/>
        <v>188.66762753525677</v>
      </c>
      <c r="U380">
        <f t="shared" si="242"/>
        <v>4.5249814599302495E-05</v>
      </c>
      <c r="V380">
        <f>+'Material Properties'!AE$31+'Material Properties'!AE$33</f>
        <v>0.00029034311030761144</v>
      </c>
      <c r="W380">
        <f t="shared" si="260"/>
        <v>0.0003355929249069139</v>
      </c>
      <c r="X380" s="1">
        <f>+'Volcano Summary'!E$12*10^9/Q380/3600/24/365</f>
        <v>0</v>
      </c>
      <c r="Y380" s="3">
        <f t="shared" si="261"/>
        <v>200</v>
      </c>
      <c r="Z380" s="1">
        <f>+Y380*'Volcano Summary'!B$19*'Volcano Summary'!B$20/1000</f>
        <v>8100000</v>
      </c>
      <c r="AA380" s="1">
        <f t="shared" si="243"/>
        <v>1039304.1288153339</v>
      </c>
      <c r="AB380" s="3">
        <f t="shared" si="269"/>
        <v>288.69559133759276</v>
      </c>
      <c r="AC380" s="1">
        <f t="shared" si="262"/>
        <v>666425710.8388596</v>
      </c>
      <c r="AD380" s="36">
        <f t="shared" si="263"/>
        <v>185118.2530107945</v>
      </c>
      <c r="AE380" s="36">
        <f t="shared" si="268"/>
        <v>7713.260542116437</v>
      </c>
      <c r="AG380" s="1">
        <f t="shared" si="244"/>
        <v>8100000000</v>
      </c>
      <c r="AH380" s="1">
        <f t="shared" si="264"/>
        <v>8100000</v>
      </c>
      <c r="AI380" s="1">
        <f t="shared" si="265"/>
        <v>8108100000</v>
      </c>
      <c r="AJ380" s="1">
        <f t="shared" si="266"/>
        <v>526640137438.24036</v>
      </c>
      <c r="AK380" s="1">
        <f t="shared" si="267"/>
        <v>527166777575.6786</v>
      </c>
      <c r="AL380" s="39">
        <f>+AJ380/('Volcano Summary'!C$8)*10^6</f>
        <v>36560.87402465277</v>
      </c>
      <c r="AM380" s="1">
        <f t="shared" si="245"/>
        <v>7713.260542116437</v>
      </c>
    </row>
    <row r="381" spans="1:39" ht="12.75" hidden="1">
      <c r="A381" s="1">
        <f t="shared" si="258"/>
        <v>1039304.1288153339</v>
      </c>
      <c r="B381" s="1">
        <f t="shared" si="259"/>
        <v>7725.075185373166</v>
      </c>
      <c r="C381" s="1">
        <f t="shared" si="237"/>
        <v>13200</v>
      </c>
      <c r="D381" s="1">
        <f t="shared" si="246"/>
        <v>129.64089628857147</v>
      </c>
      <c r="E381" s="38">
        <f t="shared" si="238"/>
        <v>1368719682.2094374</v>
      </c>
      <c r="F381" s="38">
        <f t="shared" si="239"/>
        <v>880015627.929927</v>
      </c>
      <c r="G381" s="38">
        <f t="shared" si="240"/>
        <v>391311573.6504165</v>
      </c>
      <c r="H381" s="18">
        <f t="shared" si="247"/>
        <v>0.0038568076456910274</v>
      </c>
      <c r="I381" s="50">
        <f t="shared" si="270"/>
        <v>0.027842515597426364</v>
      </c>
      <c r="J381" s="3">
        <f t="shared" si="248"/>
        <v>12.238322703142568</v>
      </c>
      <c r="K381" s="12">
        <f t="shared" si="257"/>
        <v>0.8592430994691362</v>
      </c>
      <c r="L381" s="3">
        <f t="shared" si="249"/>
        <v>1357.6722720916705</v>
      </c>
      <c r="M381" s="12">
        <f t="shared" si="256"/>
        <v>0.7385490975704263</v>
      </c>
      <c r="N381" s="37">
        <f t="shared" si="250"/>
        <v>18672.312571450104</v>
      </c>
      <c r="O381" s="1">
        <f t="shared" si="241"/>
        <v>180594.74542738925</v>
      </c>
      <c r="P381">
        <f t="shared" si="251"/>
        <v>424.96440489456205</v>
      </c>
      <c r="Q381" s="1">
        <f t="shared" si="252"/>
        <v>7935.068199931543</v>
      </c>
      <c r="R381" s="1">
        <f>+Q381*1000/'Material Properties'!AE$35</f>
        <v>6805006.671981829</v>
      </c>
      <c r="S381" s="1">
        <f t="shared" si="253"/>
        <v>515.5308084834719</v>
      </c>
      <c r="T381" s="1">
        <f t="shared" si="254"/>
        <v>191.10174095631896</v>
      </c>
      <c r="U381">
        <f t="shared" si="242"/>
        <v>4.467615739979931E-05</v>
      </c>
      <c r="V381">
        <f>+'Material Properties'!AE$31+'Material Properties'!AE$33</f>
        <v>0.00029034311030761144</v>
      </c>
      <c r="W381">
        <f t="shared" si="260"/>
        <v>0.00033501926770741075</v>
      </c>
      <c r="X381" s="1">
        <f>+'Volcano Summary'!E$12*10^9/Q381/3600/24/365</f>
        <v>0</v>
      </c>
      <c r="Y381" s="3">
        <f t="shared" si="261"/>
        <v>200</v>
      </c>
      <c r="Z381" s="1">
        <f>+Y381*'Volcano Summary'!B$19*'Volcano Summary'!B$20/1000</f>
        <v>8100000</v>
      </c>
      <c r="AA381" s="1">
        <f t="shared" si="243"/>
        <v>1020785.177381321</v>
      </c>
      <c r="AB381" s="3">
        <f t="shared" si="269"/>
        <v>283.5514381614781</v>
      </c>
      <c r="AC381" s="1">
        <f t="shared" si="262"/>
        <v>667446496.0162408</v>
      </c>
      <c r="AD381" s="36">
        <f t="shared" si="263"/>
        <v>185401.80444895598</v>
      </c>
      <c r="AE381" s="36">
        <f t="shared" si="268"/>
        <v>7725.075185373166</v>
      </c>
      <c r="AG381" s="1">
        <f t="shared" si="244"/>
        <v>8099999999.999999</v>
      </c>
      <c r="AH381" s="1">
        <f t="shared" si="264"/>
        <v>8100000</v>
      </c>
      <c r="AI381" s="1">
        <f t="shared" si="265"/>
        <v>8108099999.999999</v>
      </c>
      <c r="AJ381" s="1">
        <f t="shared" si="266"/>
        <v>534740137438.24036</v>
      </c>
      <c r="AK381" s="1">
        <f t="shared" si="267"/>
        <v>535274877575.6786</v>
      </c>
      <c r="AL381" s="39">
        <f>+AJ381/('Volcano Summary'!C$8)*10^6</f>
        <v>37123.199336658465</v>
      </c>
      <c r="AM381" s="1">
        <f t="shared" si="245"/>
        <v>7725.075185373166</v>
      </c>
    </row>
    <row r="382" spans="1:39" ht="12.75" hidden="1">
      <c r="A382" s="1">
        <f t="shared" si="258"/>
        <v>1020785.177381321</v>
      </c>
      <c r="B382" s="1">
        <f t="shared" si="259"/>
        <v>7736.682410229022</v>
      </c>
      <c r="C382" s="1">
        <f t="shared" si="237"/>
        <v>13400</v>
      </c>
      <c r="D382" s="1">
        <f t="shared" si="246"/>
        <v>130.61933202803934</v>
      </c>
      <c r="E382" s="38">
        <f t="shared" si="238"/>
        <v>1379049788.6243594</v>
      </c>
      <c r="F382" s="38">
        <f t="shared" si="239"/>
        <v>886657349.5340438</v>
      </c>
      <c r="G382" s="38">
        <f t="shared" si="240"/>
        <v>394264910.4437285</v>
      </c>
      <c r="H382" s="18">
        <f t="shared" si="247"/>
        <v>0.003827917293993417</v>
      </c>
      <c r="I382" s="50">
        <f t="shared" si="270"/>
        <v>0.027804900174788868</v>
      </c>
      <c r="J382" s="3">
        <f t="shared" si="248"/>
        <v>12.14348582368349</v>
      </c>
      <c r="K382" s="12">
        <f t="shared" si="257"/>
        <v>0.8571566881210365</v>
      </c>
      <c r="L382" s="3">
        <f t="shared" si="249"/>
        <v>1354.3755766195247</v>
      </c>
      <c r="M382" s="12">
        <f t="shared" si="256"/>
        <v>0.7379326578539424</v>
      </c>
      <c r="N382" s="37">
        <f t="shared" si="250"/>
        <v>18955.226398290266</v>
      </c>
      <c r="O382" s="1">
        <f t="shared" si="241"/>
        <v>181563.1904107292</v>
      </c>
      <c r="P382">
        <f t="shared" si="251"/>
        <v>426.1023238738897</v>
      </c>
      <c r="Q382" s="1">
        <f t="shared" si="252"/>
        <v>8076.866017867183</v>
      </c>
      <c r="R382" s="1">
        <f>+Q382*1000/'Material Properties'!AE$35</f>
        <v>6926610.553991666</v>
      </c>
      <c r="S382" s="1">
        <f t="shared" si="253"/>
        <v>516.9112353725124</v>
      </c>
      <c r="T382" s="1">
        <f t="shared" si="254"/>
        <v>193.46349289231375</v>
      </c>
      <c r="U382">
        <f t="shared" si="242"/>
        <v>4.413328795625497E-05</v>
      </c>
      <c r="V382">
        <f>+'Material Properties'!AE$31+'Material Properties'!AE$33</f>
        <v>0.00029034311030761144</v>
      </c>
      <c r="W382">
        <f t="shared" si="260"/>
        <v>0.00033447639826386644</v>
      </c>
      <c r="X382" s="1">
        <f>+'Volcano Summary'!E$12*10^9/Q382/3600/24/365</f>
        <v>0</v>
      </c>
      <c r="Y382" s="3">
        <f>+C384-C382</f>
        <v>200</v>
      </c>
      <c r="Z382" s="1">
        <f>+Y382*'Volcano Summary'!B$19*'Volcano Summary'!B$20/1000</f>
        <v>8100000</v>
      </c>
      <c r="AA382" s="1">
        <f t="shared" si="243"/>
        <v>1002864.2275458875</v>
      </c>
      <c r="AB382" s="3">
        <f t="shared" si="269"/>
        <v>278.5733965405243</v>
      </c>
      <c r="AC382" s="1">
        <f t="shared" si="262"/>
        <v>668449360.2437867</v>
      </c>
      <c r="AD382" s="36">
        <f t="shared" si="263"/>
        <v>185680.37784549652</v>
      </c>
      <c r="AE382" s="36">
        <f t="shared" si="268"/>
        <v>7736.682410229022</v>
      </c>
      <c r="AG382" s="1">
        <f t="shared" si="244"/>
        <v>8100000000</v>
      </c>
      <c r="AH382" s="1">
        <f t="shared" si="264"/>
        <v>8100000</v>
      </c>
      <c r="AI382" s="1">
        <f t="shared" si="265"/>
        <v>8108100000</v>
      </c>
      <c r="AJ382" s="1">
        <f t="shared" si="266"/>
        <v>542840137438.24036</v>
      </c>
      <c r="AK382" s="1">
        <f t="shared" si="267"/>
        <v>543382977575.6786</v>
      </c>
      <c r="AL382" s="39">
        <f>+AJ382/('Volcano Summary'!C$8)*10^6</f>
        <v>37685.52464866418</v>
      </c>
      <c r="AM382" s="1">
        <f t="shared" si="245"/>
        <v>7736.682410229022</v>
      </c>
    </row>
    <row r="383" spans="1:39" ht="12.75" hidden="1">
      <c r="A383" s="1"/>
      <c r="B383" s="1"/>
      <c r="C383" s="1"/>
      <c r="D383" s="1"/>
      <c r="E383" s="38"/>
      <c r="F383" s="38"/>
      <c r="G383" s="38"/>
      <c r="H383" s="18"/>
      <c r="I383" s="50"/>
      <c r="J383" s="3"/>
      <c r="K383" s="12"/>
      <c r="L383" s="3"/>
      <c r="M383" s="12"/>
      <c r="N383" s="37"/>
      <c r="O383" s="1"/>
      <c r="Q383" s="1"/>
      <c r="R383" s="1"/>
      <c r="S383" s="1"/>
      <c r="T383" s="1"/>
      <c r="X383" s="1"/>
      <c r="Y383" s="3"/>
      <c r="Z383" s="1"/>
      <c r="AA383" s="1"/>
      <c r="AB383" s="3"/>
      <c r="AC383" s="1"/>
      <c r="AD383" s="36"/>
      <c r="AE383" s="36"/>
      <c r="AG383" s="1"/>
      <c r="AH383" s="1"/>
      <c r="AI383" s="1"/>
      <c r="AJ383" s="1"/>
      <c r="AK383" s="1"/>
      <c r="AL383" s="39"/>
      <c r="AM383" s="1"/>
    </row>
    <row r="384" spans="1:39" ht="12.75">
      <c r="A384" s="1">
        <f>+AA382</f>
        <v>1002864.2275458875</v>
      </c>
      <c r="B384" s="1">
        <f t="shared" si="259"/>
        <v>11.406407187491844</v>
      </c>
      <c r="C384" s="1">
        <f>+C213*10</f>
        <v>13600</v>
      </c>
      <c r="D384" s="1">
        <f t="shared" si="246"/>
        <v>131.59049284959082</v>
      </c>
      <c r="E384" s="38">
        <f t="shared" si="238"/>
        <v>1389303088.0777154</v>
      </c>
      <c r="F384" s="38">
        <f t="shared" si="239"/>
        <v>893249688.2532717</v>
      </c>
      <c r="G384" s="38">
        <f t="shared" si="240"/>
        <v>397196288.4288284</v>
      </c>
      <c r="H384" s="18">
        <f t="shared" si="247"/>
        <v>0.0037996665957585915</v>
      </c>
      <c r="I384" s="50">
        <f t="shared" si="270"/>
        <v>0.02776794129593202</v>
      </c>
      <c r="J384" s="3">
        <f t="shared" si="248"/>
        <v>12.050891897513843</v>
      </c>
      <c r="K384" s="12">
        <f t="shared" si="257"/>
        <v>0.8551196217453043</v>
      </c>
      <c r="L384" s="3">
        <f t="shared" si="249"/>
        <v>1351.156850118898</v>
      </c>
      <c r="M384" s="12">
        <f t="shared" si="256"/>
        <v>0.7373307973338397</v>
      </c>
      <c r="N384" s="37">
        <f t="shared" si="250"/>
        <v>19238.14022513041</v>
      </c>
      <c r="O384" s="1">
        <f t="shared" si="241"/>
        <v>182523.43729755087</v>
      </c>
      <c r="P384">
        <f t="shared" si="251"/>
        <v>427.2276176671528</v>
      </c>
      <c r="Q384" s="1">
        <f t="shared" si="252"/>
        <v>8219.064816729087</v>
      </c>
      <c r="R384" s="1">
        <f>+Q384*1000/'Material Properties'!AE$35</f>
        <v>7048558.311795615</v>
      </c>
      <c r="S384" s="1">
        <f t="shared" si="253"/>
        <v>518.2763464555599</v>
      </c>
      <c r="T384" s="1">
        <f t="shared" si="254"/>
        <v>195.75611552664918</v>
      </c>
      <c r="U384">
        <f t="shared" si="242"/>
        <v>4.361878081964654E-05</v>
      </c>
      <c r="V384">
        <f>+'Material Properties'!AE$31+'Material Properties'!AE$33</f>
        <v>0.00029034311030761144</v>
      </c>
      <c r="W384">
        <f t="shared" si="260"/>
        <v>0.000333961891127258</v>
      </c>
      <c r="X384" s="1">
        <f>+'Volcano Summary'!E$12*10^9/Q384/3600/24/365</f>
        <v>0</v>
      </c>
      <c r="Y384" s="3">
        <f>+C385-C384</f>
        <v>200</v>
      </c>
      <c r="Z384" s="1">
        <f>+Y384*'Volcano Summary'!B$19*'Volcano Summary'!B$20/1000</f>
        <v>8100000</v>
      </c>
      <c r="AA384" s="1">
        <f t="shared" si="243"/>
        <v>985513.5809992953</v>
      </c>
      <c r="AB384" s="3">
        <f t="shared" si="269"/>
        <v>273.75377249980426</v>
      </c>
      <c r="AC384" s="1">
        <f>+AC383+AA384</f>
        <v>985513.5809992953</v>
      </c>
      <c r="AD384" s="36">
        <f>+AD383+AB384</f>
        <v>273.75377249980426</v>
      </c>
      <c r="AE384" s="36">
        <f t="shared" si="268"/>
        <v>11.406407187491844</v>
      </c>
      <c r="AG384" s="1">
        <f t="shared" si="244"/>
        <v>8100000000</v>
      </c>
      <c r="AH384" s="1">
        <f t="shared" si="264"/>
        <v>8100000</v>
      </c>
      <c r="AI384" s="1">
        <f t="shared" si="265"/>
        <v>8108100000</v>
      </c>
      <c r="AJ384" s="1">
        <f>+AJ383+AG384</f>
        <v>8100000000</v>
      </c>
      <c r="AK384" s="1">
        <f>+AK383+AI384</f>
        <v>8108100000</v>
      </c>
      <c r="AL384" s="39">
        <f>+AJ384/('Volcano Summary'!C$8)*10^6</f>
        <v>562.3253120057078</v>
      </c>
      <c r="AM384" s="1">
        <f t="shared" si="245"/>
        <v>11.406407187491844</v>
      </c>
    </row>
    <row r="385" spans="1:39" ht="12.75">
      <c r="A385" s="1">
        <f t="shared" si="258"/>
        <v>985513.5809992953</v>
      </c>
      <c r="B385" s="1">
        <f t="shared" si="259"/>
        <v>22.61829608141781</v>
      </c>
      <c r="C385" s="1">
        <f>+C214*10</f>
        <v>13800</v>
      </c>
      <c r="D385" s="1">
        <f t="shared" si="246"/>
        <v>132.5545386523798</v>
      </c>
      <c r="E385" s="38">
        <f t="shared" si="238"/>
        <v>1399481268.749126</v>
      </c>
      <c r="F385" s="38">
        <f t="shared" si="239"/>
        <v>899793729.4993778</v>
      </c>
      <c r="G385" s="38">
        <f t="shared" si="240"/>
        <v>400106190.2496298</v>
      </c>
      <c r="H385" s="18">
        <f t="shared" si="247"/>
        <v>0.0037720322901295344</v>
      </c>
      <c r="I385" s="50">
        <f t="shared" si="270"/>
        <v>0.027731617968294098</v>
      </c>
      <c r="J385" s="3">
        <f t="shared" si="248"/>
        <v>11.960455843394174</v>
      </c>
      <c r="K385" s="12">
        <f t="shared" si="257"/>
        <v>0.8531300285546716</v>
      </c>
      <c r="L385" s="3">
        <f t="shared" si="249"/>
        <v>1348.0131350173938</v>
      </c>
      <c r="M385" s="12">
        <f t="shared" si="256"/>
        <v>0.7367429629820618</v>
      </c>
      <c r="N385" s="37">
        <f t="shared" si="250"/>
        <v>19521.054051970572</v>
      </c>
      <c r="O385" s="1">
        <f t="shared" si="241"/>
        <v>183475.65807067952</v>
      </c>
      <c r="P385">
        <f t="shared" si="251"/>
        <v>428.3405865321188</v>
      </c>
      <c r="Q385" s="1">
        <f t="shared" si="252"/>
        <v>8361.65974234627</v>
      </c>
      <c r="R385" s="1">
        <f>+Q385*1000/'Material Properties'!AE$35</f>
        <v>7170845.78252259</v>
      </c>
      <c r="S385" s="1">
        <f t="shared" si="253"/>
        <v>519.6265059798978</v>
      </c>
      <c r="T385" s="1">
        <f t="shared" si="254"/>
        <v>197.98265064793236</v>
      </c>
      <c r="U385">
        <f t="shared" si="242"/>
        <v>4.313045895182098E-05</v>
      </c>
      <c r="V385">
        <f>+'Material Properties'!AE$31+'Material Properties'!AE$33</f>
        <v>0.00029034311030761144</v>
      </c>
      <c r="W385">
        <f t="shared" si="260"/>
        <v>0.00033347356925943244</v>
      </c>
      <c r="X385" s="1">
        <f>+'Volcano Summary'!E$12*10^9/Q385/3600/24/365</f>
        <v>0</v>
      </c>
      <c r="Y385" s="3">
        <f t="shared" si="261"/>
        <v>200</v>
      </c>
      <c r="Z385" s="1">
        <f>+Y385*'Volcano Summary'!B$19*'Volcano Summary'!B$20/1000</f>
        <v>8100000</v>
      </c>
      <c r="AA385" s="1">
        <f t="shared" si="243"/>
        <v>968707.2004352035</v>
      </c>
      <c r="AB385" s="3">
        <f t="shared" si="269"/>
        <v>269.0853334542232</v>
      </c>
      <c r="AC385" s="1">
        <f t="shared" si="262"/>
        <v>1954220.7814344987</v>
      </c>
      <c r="AD385" s="36">
        <f t="shared" si="263"/>
        <v>542.8391059540274</v>
      </c>
      <c r="AE385" s="36">
        <f t="shared" si="268"/>
        <v>22.61829608141781</v>
      </c>
      <c r="AG385" s="1">
        <f t="shared" si="244"/>
        <v>8100000000</v>
      </c>
      <c r="AH385" s="1">
        <f t="shared" si="264"/>
        <v>8100000</v>
      </c>
      <c r="AI385" s="1">
        <f t="shared" si="265"/>
        <v>8108100000</v>
      </c>
      <c r="AJ385" s="1">
        <f t="shared" si="266"/>
        <v>16200000000</v>
      </c>
      <c r="AK385" s="1">
        <f t="shared" si="267"/>
        <v>16216200000</v>
      </c>
      <c r="AL385" s="39">
        <f>+AJ385/('Volcano Summary'!C$8)*10^6</f>
        <v>1124.6506240114156</v>
      </c>
      <c r="AM385" s="1">
        <f t="shared" si="245"/>
        <v>22.61829608141781</v>
      </c>
    </row>
    <row r="386" spans="1:39" ht="12.75">
      <c r="A386" s="1">
        <f t="shared" si="258"/>
        <v>968707.2004352035</v>
      </c>
      <c r="B386" s="1">
        <f t="shared" si="259"/>
        <v>33.64168251516257</v>
      </c>
      <c r="C386" s="1">
        <f>+C215*10</f>
        <v>14000</v>
      </c>
      <c r="D386" s="1">
        <f t="shared" si="246"/>
        <v>133.5116235624909</v>
      </c>
      <c r="E386" s="38">
        <f t="shared" si="238"/>
        <v>1409585957.8674335</v>
      </c>
      <c r="F386" s="38">
        <f t="shared" si="239"/>
        <v>906290519.4959458</v>
      </c>
      <c r="G386" s="38">
        <f t="shared" si="240"/>
        <v>402995081.1244584</v>
      </c>
      <c r="H386" s="18">
        <f t="shared" si="247"/>
        <v>0.0037449922835068516</v>
      </c>
      <c r="I386" s="50">
        <f t="shared" si="270"/>
        <v>0.027695910164979066</v>
      </c>
      <c r="J386" s="3">
        <f t="shared" si="248"/>
        <v>11.872096985254556</v>
      </c>
      <c r="K386" s="12">
        <f t="shared" si="257"/>
        <v>0.8511861336756</v>
      </c>
      <c r="L386" s="3">
        <f t="shared" si="249"/>
        <v>1344.9416268739976</v>
      </c>
      <c r="M386" s="12">
        <f t="shared" si="256"/>
        <v>0.7361686304041543</v>
      </c>
      <c r="N386" s="37">
        <f t="shared" si="250"/>
        <v>19803.967878810723</v>
      </c>
      <c r="O386" s="1">
        <f t="shared" si="241"/>
        <v>184420.01875064767</v>
      </c>
      <c r="P386">
        <f t="shared" si="251"/>
        <v>429.4415195933524</v>
      </c>
      <c r="Q386" s="1">
        <f t="shared" si="252"/>
        <v>8504.646059854416</v>
      </c>
      <c r="R386" s="1">
        <f>+Q386*1000/'Material Properties'!AE$35</f>
        <v>7293468.90561729</v>
      </c>
      <c r="S386" s="1">
        <f t="shared" si="253"/>
        <v>520.9620646869492</v>
      </c>
      <c r="T386" s="1">
        <f t="shared" si="254"/>
        <v>200.1459634757482</v>
      </c>
      <c r="U386">
        <f t="shared" si="242"/>
        <v>4.266636271478654E-05</v>
      </c>
      <c r="V386">
        <f>+'Material Properties'!AE$31+'Material Properties'!AE$33</f>
        <v>0.00029034311030761144</v>
      </c>
      <c r="W386">
        <f t="shared" si="260"/>
        <v>0.000333009473022398</v>
      </c>
      <c r="X386" s="1">
        <f>+'Volcano Summary'!E$12*10^9/Q386/3600/24/365</f>
        <v>0</v>
      </c>
      <c r="Y386" s="3">
        <f t="shared" si="261"/>
        <v>200</v>
      </c>
      <c r="Z386" s="1">
        <f>+Y386*'Volcano Summary'!B$19*'Volcano Summary'!B$20/1000</f>
        <v>8100000</v>
      </c>
      <c r="AA386" s="1">
        <f t="shared" si="243"/>
        <v>952420.5878755474</v>
      </c>
      <c r="AB386" s="3">
        <f t="shared" si="269"/>
        <v>264.5612744098743</v>
      </c>
      <c r="AC386" s="1">
        <f t="shared" si="262"/>
        <v>2906641.369310046</v>
      </c>
      <c r="AD386" s="36">
        <f t="shared" si="263"/>
        <v>807.4003803639017</v>
      </c>
      <c r="AE386" s="36">
        <f t="shared" si="268"/>
        <v>33.64168251516257</v>
      </c>
      <c r="AG386" s="1">
        <f t="shared" si="244"/>
        <v>8100000000.000001</v>
      </c>
      <c r="AH386" s="1">
        <f t="shared" si="264"/>
        <v>8100000</v>
      </c>
      <c r="AI386" s="1">
        <f t="shared" si="265"/>
        <v>8108100000.000001</v>
      </c>
      <c r="AJ386" s="1">
        <f t="shared" si="266"/>
        <v>24300000000</v>
      </c>
      <c r="AK386" s="1">
        <f t="shared" si="267"/>
        <v>24324300000</v>
      </c>
      <c r="AL386" s="39">
        <f>+AJ386/('Volcano Summary'!C$8)*10^6</f>
        <v>1686.9759360171238</v>
      </c>
      <c r="AM386" s="1">
        <f t="shared" si="245"/>
        <v>33.64168251516257</v>
      </c>
    </row>
    <row r="387" spans="1:39" ht="12.75">
      <c r="A387" s="1">
        <f t="shared" si="258"/>
        <v>952420.5878755474</v>
      </c>
      <c r="B387" s="1">
        <f t="shared" si="259"/>
        <v>44.48231531009581</v>
      </c>
      <c r="C387" s="1">
        <f>+C216*10</f>
        <v>14200</v>
      </c>
      <c r="D387" s="1">
        <f t="shared" si="246"/>
        <v>134.46189622059964</v>
      </c>
      <c r="E387" s="38">
        <f t="shared" si="238"/>
        <v>1419618724.7477527</v>
      </c>
      <c r="F387" s="38">
        <f t="shared" si="239"/>
        <v>912741067.2310429</v>
      </c>
      <c r="G387" s="38">
        <f t="shared" si="240"/>
        <v>405863409.71433306</v>
      </c>
      <c r="H387" s="18">
        <f t="shared" si="247"/>
        <v>0.0037185255753027207</v>
      </c>
      <c r="I387" s="50">
        <f t="shared" si="270"/>
        <v>0.027660798767205064</v>
      </c>
      <c r="J387" s="3">
        <f t="shared" si="248"/>
        <v>11.7857387649154</v>
      </c>
      <c r="K387" s="12">
        <f t="shared" si="257"/>
        <v>0.8492862528281386</v>
      </c>
      <c r="L387" s="3">
        <f t="shared" si="249"/>
        <v>1341.939664392751</v>
      </c>
      <c r="M387" s="12">
        <f t="shared" si="256"/>
        <v>0.7356073019719498</v>
      </c>
      <c r="N387" s="37">
        <f t="shared" si="250"/>
        <v>20086.881705650874</v>
      </c>
      <c r="O387" s="1">
        <f t="shared" si="241"/>
        <v>185356.6796835791</v>
      </c>
      <c r="P387">
        <f t="shared" si="251"/>
        <v>430.53069540228967</v>
      </c>
      <c r="Q387" s="1">
        <f t="shared" si="252"/>
        <v>8648.019149197402</v>
      </c>
      <c r="R387" s="1">
        <f>+Q387*1000/'Material Properties'!AE$35</f>
        <v>7416423.7189823575</v>
      </c>
      <c r="S387" s="1">
        <f t="shared" si="253"/>
        <v>522.2833604917154</v>
      </c>
      <c r="T387" s="1">
        <f t="shared" si="254"/>
        <v>202.24875529918154</v>
      </c>
      <c r="U387">
        <f t="shared" si="242"/>
        <v>4.222472339230994E-05</v>
      </c>
      <c r="V387">
        <f>+'Material Properties'!AE$31+'Material Properties'!AE$33</f>
        <v>0.00029034311030761144</v>
      </c>
      <c r="W387">
        <f t="shared" si="260"/>
        <v>0.00033256783369992136</v>
      </c>
      <c r="X387" s="1">
        <f>+'Volcano Summary'!E$12*10^9/Q387/3600/24/365</f>
        <v>0</v>
      </c>
      <c r="Y387" s="3">
        <f t="shared" si="261"/>
        <v>200</v>
      </c>
      <c r="Z387" s="1">
        <f>+Y387*'Volcano Summary'!B$19*'Volcano Summary'!B$20/1000</f>
        <v>8100000</v>
      </c>
      <c r="AA387" s="1">
        <f t="shared" si="243"/>
        <v>936630.6734822318</v>
      </c>
      <c r="AB387" s="3">
        <f t="shared" si="269"/>
        <v>260.1751870783977</v>
      </c>
      <c r="AC387" s="1">
        <f t="shared" si="262"/>
        <v>3843272.042792278</v>
      </c>
      <c r="AD387" s="36">
        <f t="shared" si="263"/>
        <v>1067.5755674422994</v>
      </c>
      <c r="AE387" s="36">
        <f t="shared" si="268"/>
        <v>44.48231531009581</v>
      </c>
      <c r="AG387" s="1">
        <f t="shared" si="244"/>
        <v>8100000000</v>
      </c>
      <c r="AH387" s="1">
        <f t="shared" si="264"/>
        <v>8100000</v>
      </c>
      <c r="AI387" s="1">
        <f t="shared" si="265"/>
        <v>8108100000</v>
      </c>
      <c r="AJ387" s="1">
        <f t="shared" si="266"/>
        <v>32400000000</v>
      </c>
      <c r="AK387" s="1">
        <f t="shared" si="267"/>
        <v>32432400000</v>
      </c>
      <c r="AL387" s="39">
        <f>+AJ387/('Volcano Summary'!C$8)*10^6</f>
        <v>2249.3012480228313</v>
      </c>
      <c r="AM387" s="1">
        <f t="shared" si="245"/>
        <v>44.48231531009581</v>
      </c>
    </row>
    <row r="388" spans="1:39" ht="12.75">
      <c r="A388" s="1">
        <f t="shared" si="258"/>
        <v>936630.6734822318</v>
      </c>
      <c r="B388" s="1">
        <f t="shared" si="259"/>
        <v>55.145691627454624</v>
      </c>
      <c r="C388" s="1">
        <f>+C217*10</f>
        <v>14400</v>
      </c>
      <c r="D388" s="1">
        <f t="shared" si="246"/>
        <v>135.4055000514615</v>
      </c>
      <c r="E388" s="38">
        <f t="shared" si="238"/>
        <v>1429581083.6366794</v>
      </c>
      <c r="F388" s="38">
        <f t="shared" si="239"/>
        <v>919146346.2865394</v>
      </c>
      <c r="G388" s="38">
        <f t="shared" si="240"/>
        <v>408711608.9363995</v>
      </c>
      <c r="H388" s="18">
        <f t="shared" si="247"/>
        <v>0.003692612189386492</v>
      </c>
      <c r="I388" s="50">
        <f t="shared" si="270"/>
        <v>0.02762626551094254</v>
      </c>
      <c r="J388" s="3">
        <f t="shared" si="248"/>
        <v>11.701308477293406</v>
      </c>
      <c r="K388" s="12">
        <f t="shared" si="257"/>
        <v>0.8474287865004547</v>
      </c>
      <c r="L388" s="3">
        <f t="shared" si="249"/>
        <v>1339.0047202180483</v>
      </c>
      <c r="M388" s="12">
        <f t="shared" si="256"/>
        <v>0.7350585051024068</v>
      </c>
      <c r="N388" s="37">
        <f t="shared" si="250"/>
        <v>20369.79553249103</v>
      </c>
      <c r="O388" s="1">
        <f t="shared" si="241"/>
        <v>186285.79581134088</v>
      </c>
      <c r="P388">
        <f t="shared" si="251"/>
        <v>431.6083824618573</v>
      </c>
      <c r="Q388" s="1">
        <f t="shared" si="252"/>
        <v>8791.774500857218</v>
      </c>
      <c r="R388" s="1">
        <f>+Q388*1000/'Material Properties'!AE$35</f>
        <v>7539706.355316421</v>
      </c>
      <c r="S388" s="1">
        <f t="shared" si="253"/>
        <v>523.5907191191959</v>
      </c>
      <c r="T388" s="1">
        <f t="shared" si="254"/>
        <v>204.29357504528684</v>
      </c>
      <c r="U388">
        <f t="shared" si="242"/>
        <v>4.180394048939803E-05</v>
      </c>
      <c r="V388">
        <f>+'Material Properties'!AE$31+'Material Properties'!AE$33</f>
        <v>0.00029034311030761144</v>
      </c>
      <c r="W388">
        <f t="shared" si="260"/>
        <v>0.0003321470507970095</v>
      </c>
      <c r="X388" s="1">
        <f>+'Volcano Summary'!E$12*10^9/Q388/3600/24/365</f>
        <v>0</v>
      </c>
      <c r="Y388" s="3">
        <f t="shared" si="261"/>
        <v>200</v>
      </c>
      <c r="Z388" s="1">
        <f>+Y388*'Volcano Summary'!B$19*'Volcano Summary'!B$20/1000</f>
        <v>8100000</v>
      </c>
      <c r="AA388" s="1">
        <f t="shared" si="243"/>
        <v>921315.7138198018</v>
      </c>
      <c r="AB388" s="3">
        <f t="shared" si="269"/>
        <v>255.9210316166116</v>
      </c>
      <c r="AC388" s="1">
        <f t="shared" si="262"/>
        <v>4764587.756612079</v>
      </c>
      <c r="AD388" s="36">
        <f t="shared" si="263"/>
        <v>1323.496599058911</v>
      </c>
      <c r="AE388" s="36">
        <f t="shared" si="268"/>
        <v>55.145691627454624</v>
      </c>
      <c r="AG388" s="1">
        <f t="shared" si="244"/>
        <v>8100000000</v>
      </c>
      <c r="AH388" s="1">
        <f t="shared" si="264"/>
        <v>8100000</v>
      </c>
      <c r="AI388" s="1">
        <f t="shared" si="265"/>
        <v>8108100000</v>
      </c>
      <c r="AJ388" s="1">
        <f t="shared" si="266"/>
        <v>40500000000</v>
      </c>
      <c r="AK388" s="1">
        <f t="shared" si="267"/>
        <v>40540500000</v>
      </c>
      <c r="AL388" s="39">
        <f>+AJ388/('Volcano Summary'!C$8)*10^6</f>
        <v>2811.626560028539</v>
      </c>
      <c r="AM388" s="1">
        <f t="shared" si="245"/>
        <v>55.145691627454624</v>
      </c>
    </row>
    <row r="389" spans="1:39" ht="12.75">
      <c r="A389" s="1">
        <f t="shared" si="258"/>
        <v>921315.7138198018</v>
      </c>
      <c r="B389" s="1">
        <f t="shared" si="259"/>
        <v>65.63707124143873</v>
      </c>
      <c r="C389" s="1">
        <f aca="true" t="shared" si="271" ref="C389:C452">+C218*10</f>
        <v>14600</v>
      </c>
      <c r="D389" s="1">
        <f t="shared" si="246"/>
        <v>136.3425735166143</v>
      </c>
      <c r="E389" s="38">
        <f t="shared" si="238"/>
        <v>1439474496.380262</v>
      </c>
      <c r="F389" s="38">
        <f t="shared" si="239"/>
        <v>925507296.5534776</v>
      </c>
      <c r="G389" s="38">
        <f t="shared" si="240"/>
        <v>411540096.7266935</v>
      </c>
      <c r="H389" s="18">
        <f t="shared" si="247"/>
        <v>0.003667233110713372</v>
      </c>
      <c r="I389" s="50">
        <f t="shared" si="270"/>
        <v>0.027592292937383304</v>
      </c>
      <c r="J389" s="3">
        <f t="shared" si="248"/>
        <v>11.618737026047476</v>
      </c>
      <c r="K389" s="12">
        <f t="shared" si="257"/>
        <v>0.8456122145730443</v>
      </c>
      <c r="L389" s="3">
        <f t="shared" si="249"/>
        <v>1336.1343924404623</v>
      </c>
      <c r="M389" s="12">
        <f t="shared" si="256"/>
        <v>0.7345217906693082</v>
      </c>
      <c r="N389" s="37">
        <f t="shared" si="250"/>
        <v>20652.70935933118</v>
      </c>
      <c r="O389" s="1">
        <f t="shared" si="241"/>
        <v>187207.51692528435</v>
      </c>
      <c r="P389">
        <f t="shared" si="251"/>
        <v>432.67483971833207</v>
      </c>
      <c r="Q389" s="1">
        <f t="shared" si="252"/>
        <v>8935.907711797916</v>
      </c>
      <c r="R389" s="1">
        <f>+Q389*1000/'Material Properties'!AE$35</f>
        <v>7663313.038635673</v>
      </c>
      <c r="S389" s="1">
        <f t="shared" si="253"/>
        <v>524.8844547010735</v>
      </c>
      <c r="T389" s="1">
        <f t="shared" si="254"/>
        <v>206.28282988167393</v>
      </c>
      <c r="U389">
        <f t="shared" si="242"/>
        <v>4.1402562195424214E-05</v>
      </c>
      <c r="V389">
        <f>+'Material Properties'!AE$31+'Material Properties'!AE$33</f>
        <v>0.00029034311030761144</v>
      </c>
      <c r="W389">
        <f t="shared" si="260"/>
        <v>0.00033174567250303567</v>
      </c>
      <c r="X389" s="1">
        <f>+'Volcano Summary'!E$12*10^9/Q389/3600/24/365</f>
        <v>0</v>
      </c>
      <c r="Y389" s="3">
        <f t="shared" si="261"/>
        <v>200</v>
      </c>
      <c r="Z389" s="1">
        <f>+Y389*'Volcano Summary'!B$19*'Volcano Summary'!B$20/1000</f>
        <v>8100000</v>
      </c>
      <c r="AA389" s="1">
        <f t="shared" si="243"/>
        <v>906455.1986482266</v>
      </c>
      <c r="AB389" s="3">
        <f t="shared" si="269"/>
        <v>251.79311073561848</v>
      </c>
      <c r="AC389" s="1">
        <f t="shared" si="262"/>
        <v>5671042.955260306</v>
      </c>
      <c r="AD389" s="36">
        <f t="shared" si="263"/>
        <v>1575.2897097945295</v>
      </c>
      <c r="AE389" s="36">
        <f t="shared" si="268"/>
        <v>65.63707124143873</v>
      </c>
      <c r="AG389" s="1">
        <f t="shared" si="244"/>
        <v>8100000000</v>
      </c>
      <c r="AH389" s="1">
        <f t="shared" si="264"/>
        <v>8100000</v>
      </c>
      <c r="AI389" s="1">
        <f t="shared" si="265"/>
        <v>8108100000</v>
      </c>
      <c r="AJ389" s="1">
        <f t="shared" si="266"/>
        <v>48600000000</v>
      </c>
      <c r="AK389" s="1">
        <f t="shared" si="267"/>
        <v>48648600000</v>
      </c>
      <c r="AL389" s="39">
        <f>+AJ389/('Volcano Summary'!C$8)*10^6</f>
        <v>3373.9518720342476</v>
      </c>
      <c r="AM389" s="1">
        <f t="shared" si="245"/>
        <v>65.63707124143873</v>
      </c>
    </row>
    <row r="390" spans="1:39" ht="12.75">
      <c r="A390" s="1">
        <f t="shared" si="258"/>
        <v>906455.1986482266</v>
      </c>
      <c r="B390" s="1">
        <f t="shared" si="259"/>
        <v>75.96148982275635</v>
      </c>
      <c r="C390" s="1">
        <f t="shared" si="271"/>
        <v>14800</v>
      </c>
      <c r="D390" s="1">
        <f t="shared" si="246"/>
        <v>137.27325035155394</v>
      </c>
      <c r="E390" s="38">
        <f t="shared" si="238"/>
        <v>1449300374.9280527</v>
      </c>
      <c r="F390" s="38">
        <f t="shared" si="239"/>
        <v>931824825.8420454</v>
      </c>
      <c r="G390" s="38">
        <f t="shared" si="240"/>
        <v>414349276.7560383</v>
      </c>
      <c r="H390" s="18">
        <f t="shared" si="247"/>
        <v>0.003642370226679345</v>
      </c>
      <c r="I390" s="50">
        <f t="shared" si="270"/>
        <v>0.027558864346916945</v>
      </c>
      <c r="J390" s="3">
        <f t="shared" si="248"/>
        <v>11.537958697830518</v>
      </c>
      <c r="K390" s="12">
        <f t="shared" si="257"/>
        <v>0.8438350913522712</v>
      </c>
      <c r="L390" s="3">
        <f t="shared" si="249"/>
        <v>1333.3263967493424</v>
      </c>
      <c r="M390" s="12">
        <f t="shared" si="256"/>
        <v>0.7339967315358981</v>
      </c>
      <c r="N390" s="37">
        <f t="shared" si="250"/>
        <v>20935.623186171328</v>
      </c>
      <c r="O390" s="1">
        <f t="shared" si="241"/>
        <v>188121.9879047833</v>
      </c>
      <c r="P390">
        <f t="shared" si="251"/>
        <v>433.7303170228977</v>
      </c>
      <c r="Q390" s="1">
        <f t="shared" si="252"/>
        <v>9080.414481610016</v>
      </c>
      <c r="R390" s="1">
        <f>+Q390*1000/'Material Properties'!AE$35</f>
        <v>7787240.080967379</v>
      </c>
      <c r="S390" s="1">
        <f t="shared" si="253"/>
        <v>526.1648703356337</v>
      </c>
      <c r="T390" s="1">
        <f t="shared" si="254"/>
        <v>208.21879494596647</v>
      </c>
      <c r="U390">
        <f t="shared" si="242"/>
        <v>4.101926850820088E-05</v>
      </c>
      <c r="V390">
        <f>+'Material Properties'!AE$31+'Material Properties'!AE$33</f>
        <v>0.00029034311030761144</v>
      </c>
      <c r="W390">
        <f t="shared" si="260"/>
        <v>0.0003313623788158123</v>
      </c>
      <c r="X390" s="1">
        <f>+'Volcano Summary'!E$12*10^9/Q390/3600/24/365</f>
        <v>0</v>
      </c>
      <c r="Y390" s="3">
        <f t="shared" si="261"/>
        <v>200</v>
      </c>
      <c r="Z390" s="1">
        <f>+Y390*'Volcano Summary'!B$19*'Volcano Summary'!B$20/1000</f>
        <v>8100000</v>
      </c>
      <c r="AA390" s="1">
        <f t="shared" si="243"/>
        <v>892029.7654258418</v>
      </c>
      <c r="AB390" s="3">
        <f t="shared" si="269"/>
        <v>247.78604595162273</v>
      </c>
      <c r="AC390" s="1">
        <f t="shared" si="262"/>
        <v>6563072.720686147</v>
      </c>
      <c r="AD390" s="36">
        <f t="shared" si="263"/>
        <v>1823.0757557461523</v>
      </c>
      <c r="AE390" s="36">
        <f t="shared" si="268"/>
        <v>75.96148982275635</v>
      </c>
      <c r="AG390" s="1">
        <f t="shared" si="244"/>
        <v>8099999999.999999</v>
      </c>
      <c r="AH390" s="1">
        <f t="shared" si="264"/>
        <v>8100000</v>
      </c>
      <c r="AI390" s="1">
        <f t="shared" si="265"/>
        <v>8108099999.999999</v>
      </c>
      <c r="AJ390" s="1">
        <f t="shared" si="266"/>
        <v>56700000000</v>
      </c>
      <c r="AK390" s="1">
        <f t="shared" si="267"/>
        <v>56756700000</v>
      </c>
      <c r="AL390" s="39">
        <f>+AJ390/('Volcano Summary'!C$8)*10^6</f>
        <v>3936.2771840399555</v>
      </c>
      <c r="AM390" s="1">
        <f t="shared" si="245"/>
        <v>75.96148982275635</v>
      </c>
    </row>
    <row r="391" spans="1:39" ht="12.75">
      <c r="A391" s="1">
        <f t="shared" si="258"/>
        <v>892029.7654258418</v>
      </c>
      <c r="B391" s="1">
        <f t="shared" si="259"/>
        <v>86.12377131339406</v>
      </c>
      <c r="C391" s="1">
        <f t="shared" si="271"/>
        <v>15000</v>
      </c>
      <c r="D391" s="1">
        <f t="shared" si="246"/>
        <v>138.1976597885342</v>
      </c>
      <c r="E391" s="38">
        <f t="shared" si="238"/>
        <v>1459060083.6853778</v>
      </c>
      <c r="F391" s="38">
        <f t="shared" si="239"/>
        <v>938099811.3939638</v>
      </c>
      <c r="G391" s="38">
        <f t="shared" si="240"/>
        <v>417139539.1025501</v>
      </c>
      <c r="H391" s="18">
        <f t="shared" si="247"/>
        <v>0.003618006272791338</v>
      </c>
      <c r="I391" s="50">
        <f t="shared" si="270"/>
        <v>0.02752596375632235</v>
      </c>
      <c r="J391" s="3">
        <f t="shared" si="248"/>
        <v>11.458910953500128</v>
      </c>
      <c r="K391" s="12">
        <f t="shared" si="257"/>
        <v>0.8420960409770026</v>
      </c>
      <c r="L391" s="3">
        <f t="shared" si="249"/>
        <v>1330.5785591749338</v>
      </c>
      <c r="M391" s="12">
        <f t="shared" si="256"/>
        <v>0.7334829211977505</v>
      </c>
      <c r="N391" s="37">
        <f t="shared" si="250"/>
        <v>21218.537013011486</v>
      </c>
      <c r="O391" s="1">
        <f t="shared" si="241"/>
        <v>189029.34894167216</v>
      </c>
      <c r="P391">
        <f t="shared" si="251"/>
        <v>434.7750555651418</v>
      </c>
      <c r="Q391" s="1">
        <f t="shared" si="252"/>
        <v>9225.290608843088</v>
      </c>
      <c r="R391" s="1">
        <f>+Q391*1000/'Material Properties'!AE$35</f>
        <v>7911483.879204733</v>
      </c>
      <c r="S391" s="1">
        <f t="shared" si="253"/>
        <v>527.4322586136489</v>
      </c>
      <c r="T391" s="1">
        <f t="shared" si="254"/>
        <v>210.10362228483768</v>
      </c>
      <c r="U391">
        <f t="shared" si="242"/>
        <v>4.0652856605563544E-05</v>
      </c>
      <c r="V391">
        <f>+'Material Properties'!AE$31+'Material Properties'!AE$33</f>
        <v>0.00029034311030761144</v>
      </c>
      <c r="W391">
        <f t="shared" si="260"/>
        <v>0.000330995966913175</v>
      </c>
      <c r="X391" s="1">
        <f>+'Volcano Summary'!E$12*10^9/Q391/3600/24/365</f>
        <v>0</v>
      </c>
      <c r="Y391" s="3">
        <f t="shared" si="261"/>
        <v>200</v>
      </c>
      <c r="Z391" s="1">
        <f>+Y391*'Volcano Summary'!B$19*'Volcano Summary'!B$20/1000</f>
        <v>8100000</v>
      </c>
      <c r="AA391" s="1">
        <f t="shared" si="243"/>
        <v>878021.120791098</v>
      </c>
      <c r="AB391" s="3">
        <f t="shared" si="269"/>
        <v>243.894755775305</v>
      </c>
      <c r="AC391" s="1">
        <f t="shared" si="262"/>
        <v>7441093.841477245</v>
      </c>
      <c r="AD391" s="36">
        <f t="shared" si="263"/>
        <v>2066.9705115214574</v>
      </c>
      <c r="AE391" s="36">
        <f t="shared" si="268"/>
        <v>86.12377131339406</v>
      </c>
      <c r="AG391" s="1">
        <f t="shared" si="244"/>
        <v>8099999999.999999</v>
      </c>
      <c r="AH391" s="1">
        <f t="shared" si="264"/>
        <v>8100000</v>
      </c>
      <c r="AI391" s="1">
        <f t="shared" si="265"/>
        <v>8108099999.999999</v>
      </c>
      <c r="AJ391" s="1">
        <f t="shared" si="266"/>
        <v>64800000000</v>
      </c>
      <c r="AK391" s="1">
        <f t="shared" si="267"/>
        <v>64864800000</v>
      </c>
      <c r="AL391" s="39">
        <f>+AJ391/('Volcano Summary'!C$8)*10^6</f>
        <v>4498.6024960456625</v>
      </c>
      <c r="AM391" s="1">
        <f t="shared" si="245"/>
        <v>86.12377131339406</v>
      </c>
    </row>
    <row r="392" spans="1:39" ht="12.75">
      <c r="A392" s="1">
        <f t="shared" si="258"/>
        <v>878021.120791098</v>
      </c>
      <c r="B392" s="1">
        <f t="shared" si="259"/>
        <v>96.12853946582248</v>
      </c>
      <c r="C392" s="1">
        <f t="shared" si="271"/>
        <v>15200</v>
      </c>
      <c r="D392" s="1">
        <f t="shared" si="246"/>
        <v>139.11592676604096</v>
      </c>
      <c r="E392" s="38">
        <f t="shared" si="238"/>
        <v>1468754941.7249184</v>
      </c>
      <c r="F392" s="38">
        <f t="shared" si="239"/>
        <v>944333101.3044192</v>
      </c>
      <c r="G392" s="38">
        <f t="shared" si="240"/>
        <v>419911260.8839204</v>
      </c>
      <c r="H392" s="18">
        <f t="shared" si="247"/>
        <v>0.003594124782282319</v>
      </c>
      <c r="I392" s="50">
        <f t="shared" si="270"/>
        <v>0.027493575858910064</v>
      </c>
      <c r="J392" s="3">
        <f t="shared" si="248"/>
        <v>11.381534234806756</v>
      </c>
      <c r="K392" s="12">
        <f t="shared" si="257"/>
        <v>0.8403937531657484</v>
      </c>
      <c r="L392" s="3">
        <f t="shared" si="249"/>
        <v>1327.88880936852</v>
      </c>
      <c r="M392" s="12">
        <f t="shared" si="256"/>
        <v>0.7329799725262436</v>
      </c>
      <c r="N392" s="37">
        <f t="shared" si="250"/>
        <v>21501.45083985164</v>
      </c>
      <c r="O392" s="1">
        <f t="shared" si="241"/>
        <v>189929.73575159244</v>
      </c>
      <c r="P392">
        <f t="shared" si="251"/>
        <v>435.80928828054186</v>
      </c>
      <c r="Q392" s="1">
        <f t="shared" si="252"/>
        <v>9370.531987514803</v>
      </c>
      <c r="R392" s="1">
        <f>+Q392*1000/'Material Properties'!AE$35</f>
        <v>8036040.912113081</v>
      </c>
      <c r="S392" s="1">
        <f t="shared" si="253"/>
        <v>528.6869021127027</v>
      </c>
      <c r="T392" s="1">
        <f t="shared" si="254"/>
        <v>211.9393490765126</v>
      </c>
      <c r="U392">
        <f t="shared" si="242"/>
        <v>4.030222812284758E-05</v>
      </c>
      <c r="V392">
        <f>+'Material Properties'!AE$31+'Material Properties'!AE$33</f>
        <v>0.00029034311030761144</v>
      </c>
      <c r="W392">
        <f t="shared" si="260"/>
        <v>0.000330645338430459</v>
      </c>
      <c r="X392" s="1">
        <f>+'Volcano Summary'!E$12*10^9/Q392/3600/24/365</f>
        <v>0</v>
      </c>
      <c r="Y392" s="3">
        <f t="shared" si="261"/>
        <v>200</v>
      </c>
      <c r="Z392" s="1">
        <f>+Y392*'Volcano Summary'!B$19*'Volcano Summary'!B$20/1000</f>
        <v>8100000</v>
      </c>
      <c r="AA392" s="1">
        <f t="shared" si="243"/>
        <v>864411.9683698164</v>
      </c>
      <c r="AB392" s="3">
        <f t="shared" si="269"/>
        <v>240.11443565828233</v>
      </c>
      <c r="AC392" s="1">
        <f t="shared" si="262"/>
        <v>8305505.8098470615</v>
      </c>
      <c r="AD392" s="36">
        <f t="shared" si="263"/>
        <v>2307.0849471797396</v>
      </c>
      <c r="AE392" s="36">
        <f t="shared" si="268"/>
        <v>96.12853946582248</v>
      </c>
      <c r="AG392" s="1">
        <f t="shared" si="244"/>
        <v>8099999999.999999</v>
      </c>
      <c r="AH392" s="1">
        <f t="shared" si="264"/>
        <v>8100000</v>
      </c>
      <c r="AI392" s="1">
        <f t="shared" si="265"/>
        <v>8108099999.999999</v>
      </c>
      <c r="AJ392" s="1">
        <f t="shared" si="266"/>
        <v>72900000000</v>
      </c>
      <c r="AK392" s="1">
        <f t="shared" si="267"/>
        <v>72972900000</v>
      </c>
      <c r="AL392" s="39">
        <f>+AJ392/('Volcano Summary'!C$8)*10^6</f>
        <v>5060.92780805137</v>
      </c>
      <c r="AM392" s="1">
        <f t="shared" si="245"/>
        <v>96.12853946582248</v>
      </c>
    </row>
    <row r="393" spans="1:39" ht="12.75">
      <c r="A393" s="1">
        <f t="shared" si="258"/>
        <v>864411.9683698164</v>
      </c>
      <c r="B393" s="1">
        <f t="shared" si="259"/>
        <v>105.98022861308414</v>
      </c>
      <c r="C393" s="1">
        <f t="shared" si="271"/>
        <v>15400</v>
      </c>
      <c r="D393" s="1">
        <f t="shared" si="246"/>
        <v>140.02817212590296</v>
      </c>
      <c r="E393" s="38">
        <f t="shared" si="238"/>
        <v>1478386224.8677623</v>
      </c>
      <c r="F393" s="38">
        <f t="shared" si="239"/>
        <v>950525515.8600712</v>
      </c>
      <c r="G393" s="38">
        <f t="shared" si="240"/>
        <v>422664806.8523799</v>
      </c>
      <c r="H393" s="18">
        <f t="shared" si="247"/>
        <v>0.003570710039337206</v>
      </c>
      <c r="I393" s="50">
        <f t="shared" si="270"/>
        <v>0.027461685987376</v>
      </c>
      <c r="J393" s="3">
        <f t="shared" si="248"/>
        <v>11.305771785224936</v>
      </c>
      <c r="K393" s="12">
        <f t="shared" si="257"/>
        <v>0.8387269792749483</v>
      </c>
      <c r="L393" s="3">
        <f t="shared" si="249"/>
        <v>1325.255174374205</v>
      </c>
      <c r="M393" s="12">
        <f t="shared" si="256"/>
        <v>0.7324875166039617</v>
      </c>
      <c r="N393" s="37">
        <f t="shared" si="250"/>
        <v>21784.364666691792</v>
      </c>
      <c r="O393" s="1">
        <f t="shared" si="241"/>
        <v>190823.27977317508</v>
      </c>
      <c r="P393">
        <f t="shared" si="251"/>
        <v>436.8332402338163</v>
      </c>
      <c r="Q393" s="1">
        <f t="shared" si="252"/>
        <v>9516.134603786035</v>
      </c>
      <c r="R393" s="1">
        <f>+Q393*1000/'Material Properties'!AE$35</f>
        <v>8160907.737478525</v>
      </c>
      <c r="S393" s="1">
        <f t="shared" si="253"/>
        <v>529.9290738622419</v>
      </c>
      <c r="T393" s="1">
        <f t="shared" si="254"/>
        <v>213.7279052028332</v>
      </c>
      <c r="U393">
        <f t="shared" si="242"/>
        <v>3.9966378052721015E-05</v>
      </c>
      <c r="V393">
        <f>+'Material Properties'!AE$31+'Material Properties'!AE$33</f>
        <v>0.00029034311030761144</v>
      </c>
      <c r="W393">
        <f t="shared" si="260"/>
        <v>0.00033030948836033246</v>
      </c>
      <c r="X393" s="1">
        <f>+'Volcano Summary'!E$12*10^9/Q393/3600/24/365</f>
        <v>0</v>
      </c>
      <c r="Y393" s="3">
        <f t="shared" si="261"/>
        <v>200</v>
      </c>
      <c r="Z393" s="1">
        <f>+Y393*'Volcano Summary'!B$19*'Volcano Summary'!B$20/1000</f>
        <v>8100000</v>
      </c>
      <c r="AA393" s="1">
        <f t="shared" si="243"/>
        <v>851185.9423234073</v>
      </c>
      <c r="AB393" s="3">
        <f t="shared" si="269"/>
        <v>236.4405395342798</v>
      </c>
      <c r="AC393" s="1">
        <f t="shared" si="262"/>
        <v>9156691.75217047</v>
      </c>
      <c r="AD393" s="36">
        <f t="shared" si="263"/>
        <v>2543.5254867140193</v>
      </c>
      <c r="AE393" s="36">
        <f t="shared" si="268"/>
        <v>105.98022861308414</v>
      </c>
      <c r="AG393" s="1">
        <f t="shared" si="244"/>
        <v>8100000000</v>
      </c>
      <c r="AH393" s="1">
        <f t="shared" si="264"/>
        <v>8100000</v>
      </c>
      <c r="AI393" s="1">
        <f t="shared" si="265"/>
        <v>8108100000</v>
      </c>
      <c r="AJ393" s="1">
        <f t="shared" si="266"/>
        <v>81000000000</v>
      </c>
      <c r="AK393" s="1">
        <f t="shared" si="267"/>
        <v>81081000000</v>
      </c>
      <c r="AL393" s="39">
        <f>+AJ393/('Volcano Summary'!C$8)*10^6</f>
        <v>5623.253120057078</v>
      </c>
      <c r="AM393" s="1">
        <f t="shared" si="245"/>
        <v>105.98022861308414</v>
      </c>
    </row>
    <row r="394" spans="1:39" ht="12.75">
      <c r="A394" s="1">
        <f t="shared" si="258"/>
        <v>851185.9423234073</v>
      </c>
      <c r="B394" s="1">
        <f t="shared" si="259"/>
        <v>115.68309373014797</v>
      </c>
      <c r="C394" s="1">
        <f t="shared" si="271"/>
        <v>15600</v>
      </c>
      <c r="D394" s="1">
        <f t="shared" si="246"/>
        <v>140.93451279891858</v>
      </c>
      <c r="E394" s="38">
        <f t="shared" si="238"/>
        <v>1487955167.6432128</v>
      </c>
      <c r="F394" s="38">
        <f t="shared" si="239"/>
        <v>956677848.7991068</v>
      </c>
      <c r="G394" s="38">
        <f t="shared" si="240"/>
        <v>425400529.9550008</v>
      </c>
      <c r="H394" s="18">
        <f t="shared" si="247"/>
        <v>0.0035477470356277178</v>
      </c>
      <c r="I394" s="50">
        <f t="shared" si="270"/>
        <v>0.027430280079149407</v>
      </c>
      <c r="J394" s="3">
        <f t="shared" si="248"/>
        <v>11.231569483724034</v>
      </c>
      <c r="K394" s="12">
        <f t="shared" si="257"/>
        <v>0.8370945286419286</v>
      </c>
      <c r="L394" s="3">
        <f t="shared" si="249"/>
        <v>1322.6757728504933</v>
      </c>
      <c r="M394" s="12">
        <f t="shared" si="256"/>
        <v>0.7320052016442059</v>
      </c>
      <c r="N394" s="37">
        <f t="shared" si="250"/>
        <v>22067.278493531954</v>
      </c>
      <c r="O394" s="1">
        <f t="shared" si="241"/>
        <v>191710.10835590382</v>
      </c>
      <c r="P394">
        <f t="shared" si="251"/>
        <v>437.84712897985736</v>
      </c>
      <c r="Q394" s="1">
        <f t="shared" si="252"/>
        <v>9662.094532791918</v>
      </c>
      <c r="R394" s="1">
        <f>+Q394*1000/'Material Properties'!AE$35</f>
        <v>8286080.989390286</v>
      </c>
      <c r="S394" s="1">
        <f t="shared" si="253"/>
        <v>531.1590377814285</v>
      </c>
      <c r="T394" s="1">
        <f t="shared" si="254"/>
        <v>215.47112023011096</v>
      </c>
      <c r="U394">
        <f t="shared" si="242"/>
        <v>3.964438503104015E-05</v>
      </c>
      <c r="V394">
        <f>+'Material Properties'!AE$31+'Material Properties'!AE$33</f>
        <v>0.00029034311030761144</v>
      </c>
      <c r="W394">
        <f t="shared" si="260"/>
        <v>0.0003299874953386516</v>
      </c>
      <c r="X394" s="1">
        <f>+'Volcano Summary'!E$12*10^9/Q394/3600/24/365</f>
        <v>0</v>
      </c>
      <c r="Y394" s="3">
        <f t="shared" si="261"/>
        <v>200</v>
      </c>
      <c r="Z394" s="1">
        <f>+Y394*'Volcano Summary'!B$19*'Volcano Summary'!B$20/1000</f>
        <v>8100000</v>
      </c>
      <c r="AA394" s="1">
        <f t="shared" si="243"/>
        <v>838327.5461143162</v>
      </c>
      <c r="AB394" s="3">
        <f t="shared" si="269"/>
        <v>232.86876280953229</v>
      </c>
      <c r="AC394" s="1">
        <f t="shared" si="262"/>
        <v>9995019.298284786</v>
      </c>
      <c r="AD394" s="36">
        <f t="shared" si="263"/>
        <v>2776.3942495235515</v>
      </c>
      <c r="AE394" s="36">
        <f t="shared" si="268"/>
        <v>115.68309373014797</v>
      </c>
      <c r="AG394" s="1">
        <f t="shared" si="244"/>
        <v>8099999999.999999</v>
      </c>
      <c r="AH394" s="1">
        <f t="shared" si="264"/>
        <v>8100000</v>
      </c>
      <c r="AI394" s="1">
        <f t="shared" si="265"/>
        <v>8108099999.999999</v>
      </c>
      <c r="AJ394" s="1">
        <f t="shared" si="266"/>
        <v>89100000000</v>
      </c>
      <c r="AK394" s="1">
        <f t="shared" si="267"/>
        <v>89189100000</v>
      </c>
      <c r="AL394" s="39">
        <f>+AJ394/('Volcano Summary'!C$8)*10^6</f>
        <v>6185.578432062786</v>
      </c>
      <c r="AM394" s="1">
        <f t="shared" si="245"/>
        <v>115.68309373014797</v>
      </c>
    </row>
    <row r="395" spans="1:39" ht="12.75">
      <c r="A395" s="1">
        <f t="shared" si="258"/>
        <v>838327.5461143162</v>
      </c>
      <c r="B395" s="1">
        <f t="shared" si="259"/>
        <v>125.24121984147558</v>
      </c>
      <c r="C395" s="1">
        <f t="shared" si="271"/>
        <v>15800</v>
      </c>
      <c r="D395" s="1">
        <f t="shared" si="246"/>
        <v>141.83506197980657</v>
      </c>
      <c r="E395" s="38">
        <f t="shared" si="238"/>
        <v>1497462965.1358752</v>
      </c>
      <c r="F395" s="38">
        <f t="shared" si="239"/>
        <v>962790868.498823</v>
      </c>
      <c r="G395" s="38">
        <f t="shared" si="240"/>
        <v>428118771.8617712</v>
      </c>
      <c r="H395" s="18">
        <f t="shared" si="247"/>
        <v>0.0035252214298830166</v>
      </c>
      <c r="I395" s="50">
        <f t="shared" si="270"/>
        <v>0.027399344644037864</v>
      </c>
      <c r="J395" s="3">
        <f t="shared" si="248"/>
        <v>11.158875690391273</v>
      </c>
      <c r="K395" s="12">
        <f t="shared" si="257"/>
        <v>0.8354952651886078</v>
      </c>
      <c r="L395" s="3">
        <f t="shared" si="249"/>
        <v>1320.1488097038766</v>
      </c>
      <c r="M395" s="12">
        <f t="shared" si="256"/>
        <v>0.731532691987543</v>
      </c>
      <c r="N395" s="37">
        <f t="shared" si="250"/>
        <v>22350.1923203721</v>
      </c>
      <c r="O395" s="1">
        <f t="shared" si="241"/>
        <v>192590.34493744114</v>
      </c>
      <c r="P395">
        <f t="shared" si="251"/>
        <v>438.85116490382154</v>
      </c>
      <c r="Q395" s="1">
        <f t="shared" si="252"/>
        <v>9808.407935619744</v>
      </c>
      <c r="R395" s="1">
        <f>+Q395*1000/'Material Properties'!AE$35</f>
        <v>8411557.375648983</v>
      </c>
      <c r="S395" s="1">
        <f t="shared" si="253"/>
        <v>532.3770490917078</v>
      </c>
      <c r="T395" s="1">
        <f t="shared" si="254"/>
        <v>217.17072985191135</v>
      </c>
      <c r="U395">
        <f t="shared" si="242"/>
        <v>3.9335402810937196E-05</v>
      </c>
      <c r="V395">
        <f>+'Material Properties'!AE$31+'Material Properties'!AE$33</f>
        <v>0.00029034311030761144</v>
      </c>
      <c r="W395">
        <f t="shared" si="260"/>
        <v>0.00032967851311854865</v>
      </c>
      <c r="X395" s="1">
        <f>+'Volcano Summary'!E$12*10^9/Q395/3600/24/365</f>
        <v>0</v>
      </c>
      <c r="Y395" s="3">
        <f t="shared" si="261"/>
        <v>200</v>
      </c>
      <c r="Z395" s="1">
        <f>+Y395*'Volcano Summary'!B$19*'Volcano Summary'!B$20/1000</f>
        <v>8100000</v>
      </c>
      <c r="AA395" s="1">
        <f t="shared" si="243"/>
        <v>825822.0960187054</v>
      </c>
      <c r="AB395" s="3">
        <f t="shared" si="269"/>
        <v>229.3950266718626</v>
      </c>
      <c r="AC395" s="1">
        <f t="shared" si="262"/>
        <v>10820841.394303491</v>
      </c>
      <c r="AD395" s="36">
        <f t="shared" si="263"/>
        <v>3005.789276195414</v>
      </c>
      <c r="AE395" s="36">
        <f t="shared" si="268"/>
        <v>125.24121984147558</v>
      </c>
      <c r="AG395" s="1">
        <f t="shared" si="244"/>
        <v>8100000000</v>
      </c>
      <c r="AH395" s="1">
        <f t="shared" si="264"/>
        <v>8100000</v>
      </c>
      <c r="AI395" s="1">
        <f t="shared" si="265"/>
        <v>8108100000</v>
      </c>
      <c r="AJ395" s="1">
        <f t="shared" si="266"/>
        <v>97200000000</v>
      </c>
      <c r="AK395" s="1">
        <f t="shared" si="267"/>
        <v>97297200000</v>
      </c>
      <c r="AL395" s="39">
        <f>+AJ395/('Volcano Summary'!C$8)*10^6</f>
        <v>6747.903744068495</v>
      </c>
      <c r="AM395" s="1">
        <f t="shared" si="245"/>
        <v>125.24121984147558</v>
      </c>
    </row>
    <row r="396" spans="1:39" ht="12.75">
      <c r="A396" s="1">
        <f t="shared" si="258"/>
        <v>825822.0960187054</v>
      </c>
      <c r="B396" s="1">
        <f t="shared" si="259"/>
        <v>134.65853082485538</v>
      </c>
      <c r="C396" s="1">
        <f t="shared" si="271"/>
        <v>16000</v>
      </c>
      <c r="D396" s="1">
        <f t="shared" si="246"/>
        <v>142.7299292922217</v>
      </c>
      <c r="E396" s="38">
        <f t="shared" si="238"/>
        <v>1506910774.727858</v>
      </c>
      <c r="F396" s="38">
        <f t="shared" si="239"/>
        <v>968865319.0957711</v>
      </c>
      <c r="G396" s="38">
        <f t="shared" si="240"/>
        <v>430819863.46368384</v>
      </c>
      <c r="H396" s="18">
        <f t="shared" si="247"/>
        <v>0.003503119510248705</v>
      </c>
      <c r="I396" s="50">
        <f t="shared" si="270"/>
        <v>0.02736886673398997</v>
      </c>
      <c r="J396" s="3">
        <f t="shared" si="248"/>
        <v>11.087641102923703</v>
      </c>
      <c r="K396" s="12">
        <f t="shared" si="257"/>
        <v>0.8339281042643213</v>
      </c>
      <c r="L396" s="3">
        <f t="shared" si="249"/>
        <v>1317.6725711002452</v>
      </c>
      <c r="M396" s="12">
        <f t="shared" si="256"/>
        <v>0.7310696671690038</v>
      </c>
      <c r="N396" s="37">
        <f t="shared" si="250"/>
        <v>22633.106147212256</v>
      </c>
      <c r="O396" s="1">
        <f t="shared" si="241"/>
        <v>193464.1092111332</v>
      </c>
      <c r="P396">
        <f t="shared" si="251"/>
        <v>439.8455515418261</v>
      </c>
      <c r="Q396" s="1">
        <f t="shared" si="252"/>
        <v>9955.07105642527</v>
      </c>
      <c r="R396" s="1">
        <f>+Q396*1000/'Material Properties'!AE$35</f>
        <v>8537333.675293628</v>
      </c>
      <c r="S396" s="1">
        <f t="shared" si="253"/>
        <v>533.5833547058518</v>
      </c>
      <c r="T396" s="1">
        <f t="shared" si="254"/>
        <v>218.82838184152365</v>
      </c>
      <c r="U396">
        <f t="shared" si="242"/>
        <v>3.903865275896267E-05</v>
      </c>
      <c r="V396">
        <f>+'Material Properties'!AE$31+'Material Properties'!AE$33</f>
        <v>0.00029034311030761144</v>
      </c>
      <c r="W396">
        <f t="shared" si="260"/>
        <v>0.00032938176306657413</v>
      </c>
      <c r="X396" s="1">
        <f>+'Volcano Summary'!E$12*10^9/Q396/3600/24/365</f>
        <v>0</v>
      </c>
      <c r="Y396" s="3">
        <f t="shared" si="261"/>
        <v>200</v>
      </c>
      <c r="Z396" s="1">
        <f>+Y396*'Volcano Summary'!B$19*'Volcano Summary'!B$20/1000</f>
        <v>8100000</v>
      </c>
      <c r="AA396" s="1">
        <f t="shared" si="243"/>
        <v>813655.6689640144</v>
      </c>
      <c r="AB396" s="3">
        <f t="shared" si="269"/>
        <v>226.0154636011151</v>
      </c>
      <c r="AC396" s="1">
        <f t="shared" si="262"/>
        <v>11634497.063267507</v>
      </c>
      <c r="AD396" s="36">
        <f t="shared" si="263"/>
        <v>3231.8047397965292</v>
      </c>
      <c r="AE396" s="36">
        <f t="shared" si="268"/>
        <v>134.65853082485538</v>
      </c>
      <c r="AG396" s="1">
        <f t="shared" si="244"/>
        <v>8100000000</v>
      </c>
      <c r="AH396" s="1">
        <f t="shared" si="264"/>
        <v>8100000</v>
      </c>
      <c r="AI396" s="1">
        <f t="shared" si="265"/>
        <v>8108100000</v>
      </c>
      <c r="AJ396" s="1">
        <f t="shared" si="266"/>
        <v>105300000000</v>
      </c>
      <c r="AK396" s="1">
        <f t="shared" si="267"/>
        <v>105405300000</v>
      </c>
      <c r="AL396" s="39">
        <f>+AJ396/('Volcano Summary'!C$8)*10^6</f>
        <v>7310.229056074202</v>
      </c>
      <c r="AM396" s="1">
        <f t="shared" si="245"/>
        <v>134.65853082485538</v>
      </c>
    </row>
    <row r="397" spans="1:39" ht="12.75">
      <c r="A397" s="1">
        <f t="shared" si="258"/>
        <v>813655.6689640144</v>
      </c>
      <c r="B397" s="1">
        <f t="shared" si="259"/>
        <v>143.93879765716295</v>
      </c>
      <c r="C397" s="1">
        <f t="shared" si="271"/>
        <v>16200</v>
      </c>
      <c r="D397" s="1">
        <f t="shared" si="246"/>
        <v>143.61922094451577</v>
      </c>
      <c r="E397" s="38">
        <f t="shared" si="238"/>
        <v>1516299717.7432635</v>
      </c>
      <c r="F397" s="38">
        <f t="shared" si="239"/>
        <v>974901921.543076</v>
      </c>
      <c r="G397" s="38">
        <f t="shared" si="240"/>
        <v>433504125.3428888</v>
      </c>
      <c r="H397" s="18">
        <f t="shared" si="247"/>
        <v>0.0034814281592097226</v>
      </c>
      <c r="I397" s="50">
        <f t="shared" si="270"/>
        <v>0.027338833914812517</v>
      </c>
      <c r="J397" s="3">
        <f t="shared" si="248"/>
        <v>11.017818623098607</v>
      </c>
      <c r="K397" s="12">
        <f t="shared" si="257"/>
        <v>0.8323920097081692</v>
      </c>
      <c r="L397" s="3">
        <f t="shared" si="249"/>
        <v>1315.2454198231653</v>
      </c>
      <c r="M397" s="12">
        <f t="shared" si="256"/>
        <v>0.7306158210501407</v>
      </c>
      <c r="N397" s="37">
        <f t="shared" si="250"/>
        <v>22916.01997405241</v>
      </c>
      <c r="O397" s="1">
        <f t="shared" si="241"/>
        <v>194331.51728435114</v>
      </c>
      <c r="P397">
        <f t="shared" si="251"/>
        <v>440.83048588357764</v>
      </c>
      <c r="Q397" s="1">
        <f t="shared" si="252"/>
        <v>10102.080219679294</v>
      </c>
      <c r="R397" s="1">
        <f>+Q397*1000/'Material Properties'!AE$35</f>
        <v>8663406.736240316</v>
      </c>
      <c r="S397" s="1">
        <f t="shared" si="253"/>
        <v>534.7781935950812</v>
      </c>
      <c r="T397" s="1">
        <f t="shared" si="254"/>
        <v>220.445641557096</v>
      </c>
      <c r="U397">
        <f t="shared" si="242"/>
        <v>3.8753417233143644E-05</v>
      </c>
      <c r="V397">
        <f>+'Material Properties'!AE$31+'Material Properties'!AE$33</f>
        <v>0.00029034311030761144</v>
      </c>
      <c r="W397">
        <f t="shared" si="260"/>
        <v>0.0003290965275407551</v>
      </c>
      <c r="X397" s="1">
        <f>+'Volcano Summary'!E$12*10^9/Q397/3600/24/365</f>
        <v>0</v>
      </c>
      <c r="Y397" s="3">
        <f t="shared" si="261"/>
        <v>200</v>
      </c>
      <c r="Z397" s="1">
        <f>+Y397*'Volcano Summary'!B$19*'Volcano Summary'!B$20/1000</f>
        <v>8100000</v>
      </c>
      <c r="AA397" s="1">
        <f t="shared" si="243"/>
        <v>801815.0543113729</v>
      </c>
      <c r="AB397" s="3">
        <f t="shared" si="269"/>
        <v>222.72640397538137</v>
      </c>
      <c r="AC397" s="1">
        <f t="shared" si="262"/>
        <v>12436312.117578879</v>
      </c>
      <c r="AD397" s="36">
        <f t="shared" si="263"/>
        <v>3454.5311437719106</v>
      </c>
      <c r="AE397" s="36">
        <f t="shared" si="268"/>
        <v>143.93879765716295</v>
      </c>
      <c r="AG397" s="1">
        <f t="shared" si="244"/>
        <v>8099999999.999999</v>
      </c>
      <c r="AH397" s="1">
        <f t="shared" si="264"/>
        <v>8100000</v>
      </c>
      <c r="AI397" s="1">
        <f t="shared" si="265"/>
        <v>8108099999.999999</v>
      </c>
      <c r="AJ397" s="1">
        <f t="shared" si="266"/>
        <v>113400000000</v>
      </c>
      <c r="AK397" s="1">
        <f t="shared" si="267"/>
        <v>113513400000</v>
      </c>
      <c r="AL397" s="39">
        <f>+AJ397/('Volcano Summary'!C$8)*10^6</f>
        <v>7872.554368079911</v>
      </c>
      <c r="AM397" s="1">
        <f t="shared" si="245"/>
        <v>143.93879765716295</v>
      </c>
    </row>
    <row r="398" spans="1:39" ht="12.75">
      <c r="A398" s="1">
        <f t="shared" si="258"/>
        <v>801815.0543113729</v>
      </c>
      <c r="B398" s="1">
        <f t="shared" si="259"/>
        <v>153.08564614374157</v>
      </c>
      <c r="C398" s="1">
        <f t="shared" si="271"/>
        <v>16400</v>
      </c>
      <c r="D398" s="1">
        <f t="shared" si="246"/>
        <v>144.50303987687133</v>
      </c>
      <c r="E398" s="38">
        <f t="shared" si="238"/>
        <v>1525630881.0015895</v>
      </c>
      <c r="F398" s="38">
        <f t="shared" si="239"/>
        <v>980901374.6091977</v>
      </c>
      <c r="G398" s="38">
        <f t="shared" si="240"/>
        <v>436171868.21680605</v>
      </c>
      <c r="H398" s="18">
        <f t="shared" si="247"/>
        <v>0.003460134820873262</v>
      </c>
      <c r="I398" s="50">
        <f t="shared" si="270"/>
        <v>0.02730923423969322</v>
      </c>
      <c r="J398" s="3">
        <f t="shared" si="248"/>
        <v>10.949363232414685</v>
      </c>
      <c r="K398" s="12">
        <f t="shared" si="257"/>
        <v>0.8308859911131229</v>
      </c>
      <c r="L398" s="3">
        <f t="shared" si="249"/>
        <v>1312.8657909509495</v>
      </c>
      <c r="M398" s="12">
        <f t="shared" si="256"/>
        <v>0.7301708610106952</v>
      </c>
      <c r="N398" s="37">
        <f t="shared" si="250"/>
        <v>23198.933800892555</v>
      </c>
      <c r="O398" s="1">
        <f t="shared" si="241"/>
        <v>195192.6818282786</v>
      </c>
      <c r="P398">
        <f t="shared" si="251"/>
        <v>441.8061586581593</v>
      </c>
      <c r="Q398" s="1">
        <f t="shared" si="252"/>
        <v>10249.43182753727</v>
      </c>
      <c r="R398" s="1">
        <f>+Q398*1000/'Material Properties'!AE$35</f>
        <v>8789773.47302645</v>
      </c>
      <c r="S398" s="1">
        <f t="shared" si="253"/>
        <v>535.9617971357592</v>
      </c>
      <c r="T398" s="1">
        <f t="shared" si="254"/>
        <v>222.0239970381558</v>
      </c>
      <c r="U398">
        <f t="shared" si="242"/>
        <v>3.847903372435853E-05</v>
      </c>
      <c r="V398">
        <f>+'Material Properties'!AE$31+'Material Properties'!AE$33</f>
        <v>0.00029034311030761144</v>
      </c>
      <c r="W398">
        <f t="shared" si="260"/>
        <v>0.00032882214403197</v>
      </c>
      <c r="X398" s="1">
        <f>+'Volcano Summary'!E$12*10^9/Q398/3600/24/365</f>
        <v>0</v>
      </c>
      <c r="Y398" s="3">
        <f t="shared" si="261"/>
        <v>200</v>
      </c>
      <c r="Z398" s="1">
        <f>+Y398*'Volcano Summary'!B$19*'Volcano Summary'!B$20/1000</f>
        <v>8100000</v>
      </c>
      <c r="AA398" s="1">
        <f t="shared" si="243"/>
        <v>790287.7092403925</v>
      </c>
      <c r="AB398" s="3">
        <f t="shared" si="269"/>
        <v>219.5243636778868</v>
      </c>
      <c r="AC398" s="1">
        <f t="shared" si="262"/>
        <v>13226599.82681927</v>
      </c>
      <c r="AD398" s="36">
        <f t="shared" si="263"/>
        <v>3674.0555074497975</v>
      </c>
      <c r="AE398" s="36">
        <f t="shared" si="268"/>
        <v>153.08564614374157</v>
      </c>
      <c r="AG398" s="1">
        <f t="shared" si="244"/>
        <v>8099999999.999999</v>
      </c>
      <c r="AH398" s="1">
        <f t="shared" si="264"/>
        <v>8100000</v>
      </c>
      <c r="AI398" s="1">
        <f t="shared" si="265"/>
        <v>8108099999.999999</v>
      </c>
      <c r="AJ398" s="1">
        <f t="shared" si="266"/>
        <v>121500000000</v>
      </c>
      <c r="AK398" s="1">
        <f t="shared" si="267"/>
        <v>121621500000</v>
      </c>
      <c r="AL398" s="39">
        <f>+AJ398/('Volcano Summary'!C$8)*10^6</f>
        <v>8434.879680085618</v>
      </c>
      <c r="AM398" s="1">
        <f t="shared" si="245"/>
        <v>153.08564614374157</v>
      </c>
    </row>
    <row r="399" spans="1:39" ht="12.75">
      <c r="A399" s="1">
        <f t="shared" si="258"/>
        <v>790287.7092403925</v>
      </c>
      <c r="B399" s="1">
        <f t="shared" si="259"/>
        <v>162.10256416952114</v>
      </c>
      <c r="C399" s="1">
        <f t="shared" si="271"/>
        <v>16600</v>
      </c>
      <c r="D399" s="1">
        <f t="shared" si="246"/>
        <v>145.38148590038452</v>
      </c>
      <c r="E399" s="38">
        <f aca="true" t="shared" si="272" ref="E399:E462">+$D399*1000*A$7*$F$11/$F$10</f>
        <v>1534905318.2861388</v>
      </c>
      <c r="F399" s="38">
        <f aca="true" t="shared" si="273" ref="F399:F462">+$D399*1000*C$7*$F$11/$F$10</f>
        <v>986864355.8220379</v>
      </c>
      <c r="G399" s="38">
        <f aca="true" t="shared" si="274" ref="G399:G462">+$D399*1000*D$7*$F$11/$F$10</f>
        <v>438823393.3579369</v>
      </c>
      <c r="H399" s="18">
        <f t="shared" si="247"/>
        <v>0.003439227470426326</v>
      </c>
      <c r="I399" s="50">
        <f t="shared" si="270"/>
        <v>0.02728005622439329</v>
      </c>
      <c r="J399" s="3">
        <f t="shared" si="248"/>
        <v>10.882231876170808</v>
      </c>
      <c r="K399" s="12">
        <f t="shared" si="257"/>
        <v>0.8294091012757576</v>
      </c>
      <c r="L399" s="3">
        <f t="shared" si="249"/>
        <v>1310.532187827033</v>
      </c>
      <c r="M399" s="12">
        <f t="shared" si="256"/>
        <v>0.72973450719511</v>
      </c>
      <c r="N399" s="37">
        <f t="shared" si="250"/>
        <v>23481.847627732714</v>
      </c>
      <c r="O399" s="1">
        <f aca="true" t="shared" si="275" ref="O399:O462">+L399/J399/P$9</f>
        <v>196047.7122197049</v>
      </c>
      <c r="P399">
        <f t="shared" si="251"/>
        <v>442.77275460410266</v>
      </c>
      <c r="Q399" s="1">
        <f t="shared" si="252"/>
        <v>10397.122357325026</v>
      </c>
      <c r="R399" s="1">
        <f>+Q399*1000/'Material Properties'!AE$35</f>
        <v>8916430.864654526</v>
      </c>
      <c r="S399" s="1">
        <f t="shared" si="253"/>
        <v>537.1343894370196</v>
      </c>
      <c r="T399" s="1">
        <f t="shared" si="254"/>
        <v>223.5648637284612</v>
      </c>
      <c r="U399">
        <f aca="true" t="shared" si="276" ref="U399:U462">+I$3*0.1*0.9/(T399+0.9)</f>
        <v>3.821488966031149E-05</v>
      </c>
      <c r="V399">
        <f>+'Material Properties'!AE$31+'Material Properties'!AE$33</f>
        <v>0.00029034311030761144</v>
      </c>
      <c r="W399">
        <f t="shared" si="260"/>
        <v>0.0003285579999679229</v>
      </c>
      <c r="X399" s="1">
        <f>+'Volcano Summary'!E$12*10^9/Q399/3600/24/365</f>
        <v>0</v>
      </c>
      <c r="Y399" s="3">
        <f t="shared" si="261"/>
        <v>200</v>
      </c>
      <c r="Z399" s="1">
        <f>+Y399*'Volcano Summary'!B$19*'Volcano Summary'!B$20/1000</f>
        <v>8100000</v>
      </c>
      <c r="AA399" s="1">
        <f aca="true" t="shared" si="277" ref="AA399:AA462">Z399/(AA$12/100*Q399)</f>
        <v>779061.7174273565</v>
      </c>
      <c r="AB399" s="3">
        <f t="shared" si="269"/>
        <v>216.40603261871016</v>
      </c>
      <c r="AC399" s="1">
        <f t="shared" si="262"/>
        <v>14005661.544246627</v>
      </c>
      <c r="AD399" s="36">
        <f t="shared" si="263"/>
        <v>3890.4615400685075</v>
      </c>
      <c r="AE399" s="36">
        <f t="shared" si="268"/>
        <v>162.10256416952114</v>
      </c>
      <c r="AG399" s="1">
        <f aca="true" t="shared" si="278" ref="AG399:AG462">+AA399*Q399</f>
        <v>8100000000.000001</v>
      </c>
      <c r="AH399" s="1">
        <f t="shared" si="264"/>
        <v>8100000</v>
      </c>
      <c r="AI399" s="1">
        <f t="shared" si="265"/>
        <v>8108100000.000001</v>
      </c>
      <c r="AJ399" s="1">
        <f t="shared" si="266"/>
        <v>129600000000</v>
      </c>
      <c r="AK399" s="1">
        <f t="shared" si="267"/>
        <v>129729600000</v>
      </c>
      <c r="AL399" s="39">
        <f>+AJ399/('Volcano Summary'!C$8)*10^6</f>
        <v>8997.204992091325</v>
      </c>
      <c r="AM399" s="1">
        <f aca="true" t="shared" si="279" ref="AM399:AM462">+B399</f>
        <v>162.10256416952114</v>
      </c>
    </row>
    <row r="400" spans="1:39" ht="12.75">
      <c r="A400" s="1">
        <f t="shared" si="258"/>
        <v>779061.7174273565</v>
      </c>
      <c r="B400" s="1">
        <f t="shared" si="259"/>
        <v>170.99290850676275</v>
      </c>
      <c r="C400" s="1">
        <f t="shared" si="271"/>
        <v>16800</v>
      </c>
      <c r="D400" s="1">
        <f aca="true" t="shared" si="280" ref="D400:D463">2*SQRT(C400/PI())</f>
        <v>146.25465582862904</v>
      </c>
      <c r="E400" s="38">
        <f t="shared" si="272"/>
        <v>1544124051.7330399</v>
      </c>
      <c r="F400" s="38">
        <f t="shared" si="273"/>
        <v>992791522.3620101</v>
      </c>
      <c r="G400" s="38">
        <f t="shared" si="274"/>
        <v>441458992.99098045</v>
      </c>
      <c r="H400" s="18">
        <f aca="true" t="shared" si="281" ref="H400:H463">+(H$13/1000)/D400</f>
        <v>0.0034186945855991416</v>
      </c>
      <c r="I400" s="50">
        <f t="shared" si="270"/>
        <v>0.027251288823985698</v>
      </c>
      <c r="J400" s="3">
        <f aca="true" t="shared" si="282" ref="J400:J463">+J$13*I400/D400+1.5</f>
        <v>10.816383355315828</v>
      </c>
      <c r="K400" s="12">
        <f t="shared" si="257"/>
        <v>0.8279604338169481</v>
      </c>
      <c r="L400" s="3">
        <f aca="true" t="shared" si="283" ref="L400:L463">+L$10*K400</f>
        <v>1308.2431783004831</v>
      </c>
      <c r="M400" s="12">
        <f t="shared" si="256"/>
        <v>0.7293064918095526</v>
      </c>
      <c r="N400" s="37">
        <f aca="true" t="shared" si="284" ref="N400:N463">1.111*10^-6*(D400*1000)^2</f>
        <v>23764.76145457287</v>
      </c>
      <c r="O400" s="1">
        <f t="shared" si="275"/>
        <v>196896.7146753405</v>
      </c>
      <c r="P400">
        <f aca="true" t="shared" si="285" ref="P400:P463">+SQRT(O400)</f>
        <v>443.7304527247826</v>
      </c>
      <c r="Q400" s="1">
        <f aca="true" t="shared" si="286" ref="Q400:Q463">+P400*N400/1000</f>
        <v>10545.148359134082</v>
      </c>
      <c r="R400" s="1">
        <f>+Q400*1000/'Material Properties'!AE$35</f>
        <v>9043375.952529904</v>
      </c>
      <c r="S400" s="1">
        <f aca="true" t="shared" si="287" ref="S400:S463">+R400/C400</f>
        <v>538.2961876505894</v>
      </c>
      <c r="T400" s="1">
        <f aca="true" t="shared" si="288" ref="T400:T463">+L400-L400*K400</f>
        <v>225.06958885675226</v>
      </c>
      <c r="U400">
        <f t="shared" si="276"/>
        <v>3.796041778629665E-05</v>
      </c>
      <c r="V400">
        <f>+'Material Properties'!AE$31+'Material Properties'!AE$33</f>
        <v>0.00029034311030761144</v>
      </c>
      <c r="W400">
        <f t="shared" si="260"/>
        <v>0.00032830352809390807</v>
      </c>
      <c r="X400" s="1">
        <f>+'Volcano Summary'!E$12*10^9/Q400/3600/24/365</f>
        <v>0</v>
      </c>
      <c r="Y400" s="3">
        <f t="shared" si="261"/>
        <v>200</v>
      </c>
      <c r="Z400" s="1">
        <f>+Y400*'Volcano Summary'!B$19*'Volcano Summary'!B$20/1000</f>
        <v>8100000</v>
      </c>
      <c r="AA400" s="1">
        <f t="shared" si="277"/>
        <v>768125.7507376723</v>
      </c>
      <c r="AB400" s="3">
        <f t="shared" si="269"/>
        <v>213.36826409379788</v>
      </c>
      <c r="AC400" s="1">
        <f t="shared" si="262"/>
        <v>14773787.2949843</v>
      </c>
      <c r="AD400" s="36">
        <f t="shared" si="263"/>
        <v>4103.829804162306</v>
      </c>
      <c r="AE400" s="36">
        <f t="shared" si="268"/>
        <v>170.99290850676275</v>
      </c>
      <c r="AG400" s="1">
        <f t="shared" si="278"/>
        <v>8100000000</v>
      </c>
      <c r="AH400" s="1">
        <f t="shared" si="264"/>
        <v>8100000</v>
      </c>
      <c r="AI400" s="1">
        <f t="shared" si="265"/>
        <v>8108100000</v>
      </c>
      <c r="AJ400" s="1">
        <f t="shared" si="266"/>
        <v>137700000000</v>
      </c>
      <c r="AK400" s="1">
        <f t="shared" si="267"/>
        <v>137837700000</v>
      </c>
      <c r="AL400" s="39">
        <f>+AJ400/('Volcano Summary'!C$8)*10^6</f>
        <v>9559.530304097034</v>
      </c>
      <c r="AM400" s="1">
        <f t="shared" si="279"/>
        <v>170.99290850676275</v>
      </c>
    </row>
    <row r="401" spans="1:39" ht="12.75">
      <c r="A401" s="1">
        <f t="shared" si="258"/>
        <v>768125.7507376723</v>
      </c>
      <c r="B401" s="1">
        <f t="shared" si="259"/>
        <v>179.75991121139327</v>
      </c>
      <c r="C401" s="1">
        <f t="shared" si="271"/>
        <v>17000</v>
      </c>
      <c r="D401" s="1">
        <f t="shared" si="280"/>
        <v>147.12264360219254</v>
      </c>
      <c r="E401" s="38">
        <f t="shared" si="272"/>
        <v>1553288073.1460748</v>
      </c>
      <c r="F401" s="38">
        <f t="shared" si="273"/>
        <v>998683511.9074057</v>
      </c>
      <c r="G401" s="38">
        <f t="shared" si="274"/>
        <v>444078950.6687368</v>
      </c>
      <c r="H401" s="18">
        <f t="shared" si="281"/>
        <v>0.0033985251199805696</v>
      </c>
      <c r="I401" s="50">
        <f t="shared" si="270"/>
        <v>0.0272229214110256</v>
      </c>
      <c r="J401" s="3">
        <f t="shared" si="282"/>
        <v>10.75177822546274</v>
      </c>
      <c r="K401" s="12">
        <f t="shared" si="257"/>
        <v>0.8265391209601801</v>
      </c>
      <c r="L401" s="3">
        <f t="shared" si="283"/>
        <v>1305.9973912155551</v>
      </c>
      <c r="M401" s="12">
        <f t="shared" si="256"/>
        <v>0.7288865584655075</v>
      </c>
      <c r="N401" s="37">
        <f t="shared" si="284"/>
        <v>24047.675281413023</v>
      </c>
      <c r="O401" s="1">
        <f t="shared" si="275"/>
        <v>197739.7923791345</v>
      </c>
      <c r="P401">
        <f t="shared" si="285"/>
        <v>444.6794265300954</v>
      </c>
      <c r="Q401" s="1">
        <f t="shared" si="286"/>
        <v>10693.506453520693</v>
      </c>
      <c r="R401" s="1">
        <f>+Q401*1000/'Material Properties'!AE$35</f>
        <v>9170605.838487545</v>
      </c>
      <c r="S401" s="1">
        <f t="shared" si="287"/>
        <v>539.4474022639732</v>
      </c>
      <c r="T401" s="1">
        <f t="shared" si="288"/>
        <v>226.5394555039618</v>
      </c>
      <c r="U401">
        <f t="shared" si="276"/>
        <v>3.771509204941171E-05</v>
      </c>
      <c r="V401">
        <f>+'Material Properties'!AE$31+'Material Properties'!AE$33</f>
        <v>0.00029034311030761144</v>
      </c>
      <c r="W401">
        <f t="shared" si="260"/>
        <v>0.00032805820235702317</v>
      </c>
      <c r="X401" s="1">
        <f>+'Volcano Summary'!E$12*10^9/Q401/3600/24/365</f>
        <v>0</v>
      </c>
      <c r="Y401" s="3">
        <f t="shared" si="261"/>
        <v>200</v>
      </c>
      <c r="Z401" s="1">
        <f>+Y401*'Volcano Summary'!B$19*'Volcano Summary'!B$20/1000</f>
        <v>8100000</v>
      </c>
      <c r="AA401" s="1">
        <f t="shared" si="277"/>
        <v>757469.0336800782</v>
      </c>
      <c r="AB401" s="3">
        <f t="shared" si="269"/>
        <v>210.40806491113284</v>
      </c>
      <c r="AC401" s="1">
        <f t="shared" si="262"/>
        <v>15531256.328664377</v>
      </c>
      <c r="AD401" s="36">
        <f t="shared" si="263"/>
        <v>4314.237869073439</v>
      </c>
      <c r="AE401" s="36">
        <f t="shared" si="268"/>
        <v>179.75991121139327</v>
      </c>
      <c r="AG401" s="1">
        <f t="shared" si="278"/>
        <v>8100000000</v>
      </c>
      <c r="AH401" s="1">
        <f t="shared" si="264"/>
        <v>8100000</v>
      </c>
      <c r="AI401" s="1">
        <f t="shared" si="265"/>
        <v>8108100000</v>
      </c>
      <c r="AJ401" s="1">
        <f t="shared" si="266"/>
        <v>145800000000</v>
      </c>
      <c r="AK401" s="1">
        <f t="shared" si="267"/>
        <v>145945800000</v>
      </c>
      <c r="AL401" s="39">
        <f>+AJ401/('Volcano Summary'!C$8)*10^6</f>
        <v>10121.85561610274</v>
      </c>
      <c r="AM401" s="1">
        <f t="shared" si="279"/>
        <v>179.75991121139327</v>
      </c>
    </row>
    <row r="402" spans="1:39" ht="12.75">
      <c r="A402" s="1">
        <f t="shared" si="258"/>
        <v>757469.0336800782</v>
      </c>
      <c r="B402" s="1">
        <f t="shared" si="259"/>
        <v>188.40668563724898</v>
      </c>
      <c r="C402" s="1">
        <f t="shared" si="271"/>
        <v>17200</v>
      </c>
      <c r="D402" s="1">
        <f t="shared" si="280"/>
        <v>147.98554040663836</v>
      </c>
      <c r="E402" s="38">
        <f t="shared" si="272"/>
        <v>1562398345.2420936</v>
      </c>
      <c r="F402" s="38">
        <f t="shared" si="273"/>
        <v>1004540943.4351302</v>
      </c>
      <c r="G402" s="38">
        <f t="shared" si="274"/>
        <v>446683541.62816674</v>
      </c>
      <c r="H402" s="18">
        <f t="shared" si="281"/>
        <v>0.0033787084780451354</v>
      </c>
      <c r="I402" s="50">
        <f t="shared" si="270"/>
        <v>0.027194943755049036</v>
      </c>
      <c r="J402" s="3">
        <f t="shared" si="282"/>
        <v>10.688378702514479</v>
      </c>
      <c r="K402" s="12">
        <f t="shared" si="257"/>
        <v>0.8251443314553183</v>
      </c>
      <c r="L402" s="3">
        <f t="shared" si="283"/>
        <v>1303.7935131310815</v>
      </c>
      <c r="M402" s="12">
        <f t="shared" si="256"/>
        <v>0.7284744615663439</v>
      </c>
      <c r="N402" s="37">
        <f t="shared" si="284"/>
        <v>24330.589108253174</v>
      </c>
      <c r="O402" s="1">
        <f t="shared" si="275"/>
        <v>198577.04560303548</v>
      </c>
      <c r="P402">
        <f t="shared" si="285"/>
        <v>445.6198442653059</v>
      </c>
      <c r="Q402" s="1">
        <f t="shared" si="286"/>
        <v>10842.193329302927</v>
      </c>
      <c r="R402" s="1">
        <f>+Q402*1000/'Material Properties'!AE$35</f>
        <v>9298117.682902817</v>
      </c>
      <c r="S402" s="1">
        <f t="shared" si="287"/>
        <v>540.5882373780707</v>
      </c>
      <c r="T402" s="1">
        <f t="shared" si="288"/>
        <v>227.97568638275447</v>
      </c>
      <c r="U402">
        <f t="shared" si="276"/>
        <v>3.747842392334748E-05</v>
      </c>
      <c r="V402">
        <f>+'Material Properties'!AE$31+'Material Properties'!AE$33</f>
        <v>0.00029034311030761144</v>
      </c>
      <c r="W402">
        <f t="shared" si="260"/>
        <v>0.0003278215342309589</v>
      </c>
      <c r="X402" s="1">
        <f>+'Volcano Summary'!E$12*10^9/Q402/3600/24/365</f>
        <v>0</v>
      </c>
      <c r="Y402" s="3">
        <f t="shared" si="261"/>
        <v>200</v>
      </c>
      <c r="Z402" s="1">
        <f>+Y402*'Volcano Summary'!B$19*'Volcano Summary'!B$20/1000</f>
        <v>8100000</v>
      </c>
      <c r="AA402" s="1">
        <f t="shared" si="277"/>
        <v>747081.3103939339</v>
      </c>
      <c r="AB402" s="3">
        <f t="shared" si="269"/>
        <v>207.5225862205372</v>
      </c>
      <c r="AC402" s="1">
        <f t="shared" si="262"/>
        <v>16278337.63905831</v>
      </c>
      <c r="AD402" s="36">
        <f t="shared" si="263"/>
        <v>4521.760455293976</v>
      </c>
      <c r="AE402" s="36">
        <f t="shared" si="268"/>
        <v>188.40668563724898</v>
      </c>
      <c r="AG402" s="1">
        <f t="shared" si="278"/>
        <v>8100000000</v>
      </c>
      <c r="AH402" s="1">
        <f t="shared" si="264"/>
        <v>8100000</v>
      </c>
      <c r="AI402" s="1">
        <f t="shared" si="265"/>
        <v>8108100000</v>
      </c>
      <c r="AJ402" s="1">
        <f t="shared" si="266"/>
        <v>153900000000</v>
      </c>
      <c r="AK402" s="1">
        <f t="shared" si="267"/>
        <v>154053900000</v>
      </c>
      <c r="AL402" s="39">
        <f>+AJ402/('Volcano Summary'!C$8)*10^6</f>
        <v>10684.18092810845</v>
      </c>
      <c r="AM402" s="1">
        <f t="shared" si="279"/>
        <v>188.40668563724898</v>
      </c>
    </row>
    <row r="403" spans="1:39" ht="12.75">
      <c r="A403" s="1">
        <f t="shared" si="258"/>
        <v>747081.3103939339</v>
      </c>
      <c r="B403" s="1">
        <f t="shared" si="259"/>
        <v>196.93623209514536</v>
      </c>
      <c r="C403" s="1">
        <f t="shared" si="271"/>
        <v>17400</v>
      </c>
      <c r="D403" s="1">
        <f t="shared" si="280"/>
        <v>148.8434347843123</v>
      </c>
      <c r="E403" s="38">
        <f t="shared" si="272"/>
        <v>1571455802.831444</v>
      </c>
      <c r="F403" s="38">
        <f t="shared" si="273"/>
        <v>1010364417.9796579</v>
      </c>
      <c r="G403" s="38">
        <f t="shared" si="274"/>
        <v>449273033.12787205</v>
      </c>
      <c r="H403" s="18">
        <f t="shared" si="281"/>
        <v>0.0033592344917634125</v>
      </c>
      <c r="I403" s="50">
        <f t="shared" si="270"/>
        <v>0.02716734600330457</v>
      </c>
      <c r="J403" s="3">
        <f t="shared" si="282"/>
        <v>10.62614857439716</v>
      </c>
      <c r="K403" s="12">
        <f t="shared" si="257"/>
        <v>0.8237752686367373</v>
      </c>
      <c r="L403" s="3">
        <f t="shared" si="283"/>
        <v>1301.630285252164</v>
      </c>
      <c r="M403" s="12">
        <f t="shared" si="256"/>
        <v>0.7280699657335813</v>
      </c>
      <c r="N403" s="37">
        <f t="shared" si="284"/>
        <v>24613.502935093322</v>
      </c>
      <c r="O403" s="1">
        <f t="shared" si="275"/>
        <v>199408.5718216052</v>
      </c>
      <c r="P403">
        <f t="shared" si="285"/>
        <v>446.5518691278822</v>
      </c>
      <c r="Q403" s="1">
        <f t="shared" si="286"/>
        <v>10991.205741450536</v>
      </c>
      <c r="R403" s="1">
        <f>+Q403*1000/'Material Properties'!AE$35</f>
        <v>9425908.702881867</v>
      </c>
      <c r="S403" s="1">
        <f t="shared" si="287"/>
        <v>541.7188909702222</v>
      </c>
      <c r="T403" s="1">
        <f t="shared" si="288"/>
        <v>229.37944735284964</v>
      </c>
      <c r="U403">
        <f t="shared" si="276"/>
        <v>3.7249959119696705E-05</v>
      </c>
      <c r="V403">
        <f>+'Material Properties'!AE$31+'Material Properties'!AE$33</f>
        <v>0.00029034311030761144</v>
      </c>
      <c r="W403">
        <f t="shared" si="260"/>
        <v>0.00032759306942730813</v>
      </c>
      <c r="X403" s="1">
        <f>+'Volcano Summary'!E$12*10^9/Q403/3600/24/365</f>
        <v>0</v>
      </c>
      <c r="Y403" s="3">
        <f t="shared" si="261"/>
        <v>200</v>
      </c>
      <c r="Z403" s="1">
        <f>+Y403*'Volcano Summary'!B$19*'Volcano Summary'!B$20/1000</f>
        <v>8100000</v>
      </c>
      <c r="AA403" s="1">
        <f t="shared" si="277"/>
        <v>736952.8139622491</v>
      </c>
      <c r="AB403" s="3">
        <f t="shared" si="269"/>
        <v>204.70911498951364</v>
      </c>
      <c r="AC403" s="1">
        <f t="shared" si="262"/>
        <v>17015290.453020558</v>
      </c>
      <c r="AD403" s="36">
        <f t="shared" si="263"/>
        <v>4726.469570283489</v>
      </c>
      <c r="AE403" s="36">
        <f t="shared" si="268"/>
        <v>196.93623209514536</v>
      </c>
      <c r="AG403" s="1">
        <f t="shared" si="278"/>
        <v>8100000000.000001</v>
      </c>
      <c r="AH403" s="1">
        <f t="shared" si="264"/>
        <v>8100000</v>
      </c>
      <c r="AI403" s="1">
        <f t="shared" si="265"/>
        <v>8108100000.000001</v>
      </c>
      <c r="AJ403" s="1">
        <f t="shared" si="266"/>
        <v>162000000000</v>
      </c>
      <c r="AK403" s="1">
        <f t="shared" si="267"/>
        <v>162162000000</v>
      </c>
      <c r="AL403" s="39">
        <f>+AJ403/('Volcano Summary'!C$8)*10^6</f>
        <v>11246.506240114157</v>
      </c>
      <c r="AM403" s="1">
        <f t="shared" si="279"/>
        <v>196.93623209514536</v>
      </c>
    </row>
    <row r="404" spans="1:39" ht="12.75">
      <c r="A404" s="1">
        <f t="shared" si="258"/>
        <v>736952.8139622491</v>
      </c>
      <c r="B404" s="1">
        <f t="shared" si="259"/>
        <v>205.35144318151367</v>
      </c>
      <c r="C404" s="1">
        <f t="shared" si="271"/>
        <v>17600</v>
      </c>
      <c r="D404" s="1">
        <f t="shared" si="280"/>
        <v>149.69641274038221</v>
      </c>
      <c r="E404" s="38">
        <f t="shared" si="272"/>
        <v>1580461353.9375157</v>
      </c>
      <c r="F404" s="38">
        <f t="shared" si="273"/>
        <v>1016154519.3528419</v>
      </c>
      <c r="G404" s="38">
        <f t="shared" si="274"/>
        <v>451847684.76816815</v>
      </c>
      <c r="H404" s="18">
        <f t="shared" si="281"/>
        <v>0.003340093398678482</v>
      </c>
      <c r="I404" s="50">
        <f t="shared" si="270"/>
        <v>0.027140118662630455</v>
      </c>
      <c r="J404" s="3">
        <f t="shared" si="282"/>
        <v>10.565053118440265</v>
      </c>
      <c r="K404" s="12">
        <f t="shared" si="257"/>
        <v>0.8224311686056857</v>
      </c>
      <c r="L404" s="3">
        <f t="shared" si="283"/>
        <v>1299.5065005581655</v>
      </c>
      <c r="M404" s="12">
        <f t="shared" si="256"/>
        <v>0.7276728452698614</v>
      </c>
      <c r="N404" s="37">
        <f t="shared" si="284"/>
        <v>24896.416761933484</v>
      </c>
      <c r="O404" s="1">
        <f t="shared" si="275"/>
        <v>200234.46582086533</v>
      </c>
      <c r="P404">
        <f t="shared" si="285"/>
        <v>447.4756594730772</v>
      </c>
      <c r="Q404" s="1">
        <f t="shared" si="286"/>
        <v>11140.54050906276</v>
      </c>
      <c r="R404" s="1">
        <f>+Q404*1000/'Material Properties'!AE$35</f>
        <v>9553976.170527427</v>
      </c>
      <c r="S404" s="1">
        <f t="shared" si="287"/>
        <v>542.8395551436038</v>
      </c>
      <c r="T404" s="1">
        <f t="shared" si="288"/>
        <v>230.75185069342842</v>
      </c>
      <c r="U404">
        <f t="shared" si="276"/>
        <v>3.702927463917447E-05</v>
      </c>
      <c r="V404">
        <f>+'Material Properties'!AE$31+'Material Properties'!AE$33</f>
        <v>0.00029034311030761144</v>
      </c>
      <c r="W404">
        <f t="shared" si="260"/>
        <v>0.0003273723849467859</v>
      </c>
      <c r="X404" s="1">
        <f>+'Volcano Summary'!E$12*10^9/Q404/3600/24/365</f>
        <v>0</v>
      </c>
      <c r="Y404" s="3">
        <f t="shared" si="261"/>
        <v>200</v>
      </c>
      <c r="Z404" s="1">
        <f>+Y404*'Volcano Summary'!B$19*'Volcano Summary'!B$20/1000</f>
        <v>8100000</v>
      </c>
      <c r="AA404" s="1">
        <f t="shared" si="277"/>
        <v>727074.2378622205</v>
      </c>
      <c r="AB404" s="3">
        <f t="shared" si="269"/>
        <v>201.96506607283902</v>
      </c>
      <c r="AC404" s="1">
        <f t="shared" si="262"/>
        <v>17742364.69088278</v>
      </c>
      <c r="AD404" s="36">
        <f t="shared" si="263"/>
        <v>4928.434636356328</v>
      </c>
      <c r="AE404" s="36">
        <f t="shared" si="268"/>
        <v>205.35144318151367</v>
      </c>
      <c r="AG404" s="1">
        <f t="shared" si="278"/>
        <v>8100000000</v>
      </c>
      <c r="AH404" s="1">
        <f t="shared" si="264"/>
        <v>8100000</v>
      </c>
      <c r="AI404" s="1">
        <f t="shared" si="265"/>
        <v>8108100000</v>
      </c>
      <c r="AJ404" s="1">
        <f t="shared" si="266"/>
        <v>170100000000</v>
      </c>
      <c r="AK404" s="1">
        <f t="shared" si="267"/>
        <v>170270100000</v>
      </c>
      <c r="AL404" s="39">
        <f>+AJ404/('Volcano Summary'!C$8)*10^6</f>
        <v>11808.831552119866</v>
      </c>
      <c r="AM404" s="1">
        <f t="shared" si="279"/>
        <v>205.35144318151367</v>
      </c>
    </row>
    <row r="405" spans="1:39" ht="12.75">
      <c r="A405" s="1">
        <f t="shared" si="258"/>
        <v>727074.2378622205</v>
      </c>
      <c r="B405" s="1">
        <f t="shared" si="259"/>
        <v>213.65510879936346</v>
      </c>
      <c r="C405" s="1">
        <f t="shared" si="271"/>
        <v>17800</v>
      </c>
      <c r="D405" s="1">
        <f t="shared" si="280"/>
        <v>150.54455784347005</v>
      </c>
      <c r="E405" s="38">
        <f t="shared" si="272"/>
        <v>1589415880.8591888</v>
      </c>
      <c r="F405" s="38">
        <f t="shared" si="273"/>
        <v>1021911814.8270117</v>
      </c>
      <c r="G405" s="38">
        <f t="shared" si="274"/>
        <v>454407748.79483485</v>
      </c>
      <c r="H405" s="18">
        <f t="shared" si="281"/>
        <v>0.0033212758213410753</v>
      </c>
      <c r="I405" s="50">
        <f t="shared" si="270"/>
        <v>0.027113252582397048</v>
      </c>
      <c r="J405" s="3">
        <f t="shared" si="282"/>
        <v>10.505059023982879</v>
      </c>
      <c r="K405" s="12">
        <f t="shared" si="257"/>
        <v>0.8211112985276231</v>
      </c>
      <c r="L405" s="3">
        <f t="shared" si="283"/>
        <v>1297.421001112367</v>
      </c>
      <c r="M405" s="12">
        <f t="shared" si="256"/>
        <v>0.7272828836558884</v>
      </c>
      <c r="N405" s="37">
        <f t="shared" si="284"/>
        <v>25179.33058877363</v>
      </c>
      <c r="O405" s="1">
        <f t="shared" si="275"/>
        <v>201054.81980172882</v>
      </c>
      <c r="P405">
        <f t="shared" si="285"/>
        <v>448.39136900895943</v>
      </c>
      <c r="Q405" s="1">
        <f t="shared" si="286"/>
        <v>11290.194513429376</v>
      </c>
      <c r="R405" s="1">
        <f>+Q405*1000/'Material Properties'!AE$35</f>
        <v>9682317.411275983</v>
      </c>
      <c r="S405" s="1">
        <f t="shared" si="287"/>
        <v>543.9504163638193</v>
      </c>
      <c r="T405" s="1">
        <f t="shared" si="288"/>
        <v>232.09395815198263</v>
      </c>
      <c r="U405">
        <f t="shared" si="276"/>
        <v>3.68159761224564E-05</v>
      </c>
      <c r="V405">
        <f>+'Material Properties'!AE$31+'Material Properties'!AE$33</f>
        <v>0.00029034311030761144</v>
      </c>
      <c r="W405">
        <f t="shared" si="260"/>
        <v>0.00032715908643006784</v>
      </c>
      <c r="X405" s="1">
        <f>+'Volcano Summary'!E$12*10^9/Q405/3600/24/365</f>
        <v>0</v>
      </c>
      <c r="Y405" s="3">
        <f t="shared" si="261"/>
        <v>200</v>
      </c>
      <c r="Z405" s="1">
        <f>+Y405*'Volcano Summary'!B$19*'Volcano Summary'!B$20/1000</f>
        <v>8100000</v>
      </c>
      <c r="AA405" s="1">
        <f t="shared" si="277"/>
        <v>717436.709382223</v>
      </c>
      <c r="AB405" s="3">
        <f t="shared" si="269"/>
        <v>199.28797482839528</v>
      </c>
      <c r="AC405" s="1">
        <f t="shared" si="262"/>
        <v>18459801.400265</v>
      </c>
      <c r="AD405" s="36">
        <f t="shared" si="263"/>
        <v>5127.722611184723</v>
      </c>
      <c r="AE405" s="36">
        <f t="shared" si="268"/>
        <v>213.65510879936346</v>
      </c>
      <c r="AG405" s="1">
        <f t="shared" si="278"/>
        <v>8100000000</v>
      </c>
      <c r="AH405" s="1">
        <f t="shared" si="264"/>
        <v>8100000</v>
      </c>
      <c r="AI405" s="1">
        <f t="shared" si="265"/>
        <v>8108100000</v>
      </c>
      <c r="AJ405" s="1">
        <f t="shared" si="266"/>
        <v>178200000000</v>
      </c>
      <c r="AK405" s="1">
        <f t="shared" si="267"/>
        <v>178378200000</v>
      </c>
      <c r="AL405" s="39">
        <f>+AJ405/('Volcano Summary'!C$8)*10^6</f>
        <v>12371.156864125573</v>
      </c>
      <c r="AM405" s="1">
        <f t="shared" si="279"/>
        <v>213.65510879936346</v>
      </c>
    </row>
    <row r="406" spans="1:39" ht="12.75">
      <c r="A406" s="1">
        <f t="shared" si="258"/>
        <v>717436.709382223</v>
      </c>
      <c r="B406" s="1">
        <f t="shared" si="259"/>
        <v>221.84992089253015</v>
      </c>
      <c r="C406" s="1">
        <f t="shared" si="271"/>
        <v>18000</v>
      </c>
      <c r="D406" s="1">
        <f t="shared" si="280"/>
        <v>151.3879513212096</v>
      </c>
      <c r="E406" s="38">
        <f t="shared" si="272"/>
        <v>1598320241.1797137</v>
      </c>
      <c r="F406" s="38">
        <f t="shared" si="273"/>
        <v>1027636855.7836318</v>
      </c>
      <c r="G406" s="38">
        <f t="shared" si="274"/>
        <v>456953470.38755</v>
      </c>
      <c r="H406" s="18">
        <f t="shared" si="281"/>
        <v>0.003302772748005009</v>
      </c>
      <c r="I406" s="50">
        <f t="shared" si="270"/>
        <v>0.027086738938440533</v>
      </c>
      <c r="J406" s="3">
        <f t="shared" si="282"/>
        <v>10.446134319820752</v>
      </c>
      <c r="K406" s="12">
        <f t="shared" si="257"/>
        <v>0.8198149550360564</v>
      </c>
      <c r="L406" s="3">
        <f t="shared" si="283"/>
        <v>1295.3726755399023</v>
      </c>
      <c r="M406" s="12">
        <f t="shared" si="256"/>
        <v>0.7268998730788346</v>
      </c>
      <c r="N406" s="37">
        <f t="shared" si="284"/>
        <v>25462.244415613786</v>
      </c>
      <c r="O406" s="1">
        <f t="shared" si="275"/>
        <v>201869.72347834366</v>
      </c>
      <c r="P406">
        <f t="shared" si="285"/>
        <v>449.29914698154465</v>
      </c>
      <c r="Q406" s="1">
        <f t="shared" si="286"/>
        <v>11440.164696170874</v>
      </c>
      <c r="R406" s="1">
        <f>+Q406*1000/'Material Properties'!AE$35</f>
        <v>9810929.80230282</v>
      </c>
      <c r="S406" s="1">
        <f t="shared" si="287"/>
        <v>545.05165568349</v>
      </c>
      <c r="T406" s="1">
        <f t="shared" si="288"/>
        <v>233.40678378722123</v>
      </c>
      <c r="U406">
        <f t="shared" si="276"/>
        <v>3.660969546570946E-05</v>
      </c>
      <c r="V406">
        <f>+'Material Properties'!AE$31+'Material Properties'!AE$33</f>
        <v>0.00029034311030761144</v>
      </c>
      <c r="W406">
        <f t="shared" si="260"/>
        <v>0.0003269528057733209</v>
      </c>
      <c r="X406" s="1">
        <f>+'Volcano Summary'!E$12*10^9/Q406/3600/24/365</f>
        <v>0</v>
      </c>
      <c r="Y406" s="3">
        <f t="shared" si="261"/>
        <v>200</v>
      </c>
      <c r="Z406" s="1">
        <f>+Y406*'Volcano Summary'!B$19*'Volcano Summary'!B$20/1000</f>
        <v>8100000</v>
      </c>
      <c r="AA406" s="1">
        <f t="shared" si="277"/>
        <v>708031.7648496041</v>
      </c>
      <c r="AB406" s="3">
        <f t="shared" si="269"/>
        <v>196.67549023600114</v>
      </c>
      <c r="AC406" s="1">
        <f t="shared" si="262"/>
        <v>19167833.165114604</v>
      </c>
      <c r="AD406" s="36">
        <f t="shared" si="263"/>
        <v>5324.398101420724</v>
      </c>
      <c r="AE406" s="36">
        <f t="shared" si="268"/>
        <v>221.84992089253015</v>
      </c>
      <c r="AG406" s="1">
        <f t="shared" si="278"/>
        <v>8099999999.999999</v>
      </c>
      <c r="AH406" s="1">
        <f t="shared" si="264"/>
        <v>8100000</v>
      </c>
      <c r="AI406" s="1">
        <f t="shared" si="265"/>
        <v>8108099999.999999</v>
      </c>
      <c r="AJ406" s="1">
        <f t="shared" si="266"/>
        <v>186300000000</v>
      </c>
      <c r="AK406" s="1">
        <f t="shared" si="267"/>
        <v>186486300000</v>
      </c>
      <c r="AL406" s="39">
        <f>+AJ406/('Volcano Summary'!C$8)*10^6</f>
        <v>12933.482176131281</v>
      </c>
      <c r="AM406" s="1">
        <f t="shared" si="279"/>
        <v>221.84992089253015</v>
      </c>
    </row>
    <row r="407" spans="1:39" ht="12.75">
      <c r="A407" s="1">
        <f t="shared" si="258"/>
        <v>708031.7648496041</v>
      </c>
      <c r="B407" s="1">
        <f t="shared" si="259"/>
        <v>229.93847791252495</v>
      </c>
      <c r="C407" s="1">
        <f t="shared" si="271"/>
        <v>18200</v>
      </c>
      <c r="D407" s="1">
        <f t="shared" si="280"/>
        <v>152.22667215103917</v>
      </c>
      <c r="E407" s="38">
        <f t="shared" si="272"/>
        <v>1607175268.7252765</v>
      </c>
      <c r="F407" s="38">
        <f t="shared" si="273"/>
        <v>1033330178.3296087</v>
      </c>
      <c r="G407" s="38">
        <f t="shared" si="274"/>
        <v>459485087.9339409</v>
      </c>
      <c r="H407" s="18">
        <f t="shared" si="281"/>
        <v>0.0032845755144926274</v>
      </c>
      <c r="I407" s="50">
        <f t="shared" si="270"/>
        <v>0.02706056921792011</v>
      </c>
      <c r="J407" s="3">
        <f t="shared" si="282"/>
        <v>10.38824830614133</v>
      </c>
      <c r="K407" s="12">
        <f t="shared" si="257"/>
        <v>0.8185414627351091</v>
      </c>
      <c r="L407" s="3">
        <f t="shared" si="283"/>
        <v>1293.360456661698</v>
      </c>
      <c r="M407" s="12">
        <f t="shared" si="256"/>
        <v>0.7265236139899184</v>
      </c>
      <c r="N407" s="37">
        <f t="shared" si="284"/>
        <v>25745.158242453945</v>
      </c>
      <c r="O407" s="1">
        <f t="shared" si="275"/>
        <v>202679.26417165127</v>
      </c>
      <c r="P407">
        <f t="shared" si="285"/>
        <v>450.19913835063176</v>
      </c>
      <c r="Q407" s="1">
        <f t="shared" si="286"/>
        <v>11590.448057453432</v>
      </c>
      <c r="R407" s="1">
        <f>+Q407*1000/'Material Properties'!AE$35</f>
        <v>9939810.770991215</v>
      </c>
      <c r="S407" s="1">
        <f t="shared" si="287"/>
        <v>546.1434489555613</v>
      </c>
      <c r="T407" s="1">
        <f t="shared" si="288"/>
        <v>234.69129662208297</v>
      </c>
      <c r="U407">
        <f t="shared" si="276"/>
        <v>3.641008867046558E-05</v>
      </c>
      <c r="V407">
        <f>+'Material Properties'!AE$31+'Material Properties'!AE$33</f>
        <v>0.00029034311030761144</v>
      </c>
      <c r="W407">
        <f t="shared" si="260"/>
        <v>0.000326753198978077</v>
      </c>
      <c r="X407" s="1">
        <f>+'Volcano Summary'!E$12*10^9/Q407/3600/24/365</f>
        <v>0</v>
      </c>
      <c r="Y407" s="3">
        <f t="shared" si="261"/>
        <v>200</v>
      </c>
      <c r="Z407" s="1">
        <f>+Y407*'Volcano Summary'!B$19*'Volcano Summary'!B$20/1000</f>
        <v>8100000</v>
      </c>
      <c r="AA407" s="1">
        <f t="shared" si="277"/>
        <v>698851.3265275504</v>
      </c>
      <c r="AB407" s="3">
        <f t="shared" si="269"/>
        <v>194.1253684798751</v>
      </c>
      <c r="AC407" s="1">
        <f t="shared" si="262"/>
        <v>19866684.491642155</v>
      </c>
      <c r="AD407" s="36">
        <f t="shared" si="263"/>
        <v>5518.523469900599</v>
      </c>
      <c r="AE407" s="36">
        <f t="shared" si="268"/>
        <v>229.93847791252495</v>
      </c>
      <c r="AG407" s="1">
        <f t="shared" si="278"/>
        <v>8100000000</v>
      </c>
      <c r="AH407" s="1">
        <f t="shared" si="264"/>
        <v>8100000</v>
      </c>
      <c r="AI407" s="1">
        <f t="shared" si="265"/>
        <v>8108100000</v>
      </c>
      <c r="AJ407" s="1">
        <f t="shared" si="266"/>
        <v>194400000000</v>
      </c>
      <c r="AK407" s="1">
        <f t="shared" si="267"/>
        <v>194594400000</v>
      </c>
      <c r="AL407" s="39">
        <f>+AJ407/('Volcano Summary'!C$8)*10^6</f>
        <v>13495.80748813699</v>
      </c>
      <c r="AM407" s="1">
        <f t="shared" si="279"/>
        <v>229.93847791252495</v>
      </c>
    </row>
    <row r="408" spans="1:39" ht="12.75">
      <c r="A408" s="1">
        <f t="shared" si="258"/>
        <v>698851.3265275504</v>
      </c>
      <c r="B408" s="1">
        <f t="shared" si="259"/>
        <v>237.92328903580918</v>
      </c>
      <c r="C408" s="1">
        <f t="shared" si="271"/>
        <v>18400</v>
      </c>
      <c r="D408" s="1">
        <f t="shared" si="280"/>
        <v>153.06079714651625</v>
      </c>
      <c r="E408" s="38">
        <f t="shared" si="272"/>
        <v>1615981774.4762936</v>
      </c>
      <c r="F408" s="38">
        <f t="shared" si="273"/>
        <v>1038992303.8832061</v>
      </c>
      <c r="G408" s="38">
        <f t="shared" si="274"/>
        <v>462002833.2901187</v>
      </c>
      <c r="H408" s="18">
        <f t="shared" si="281"/>
        <v>0.003266675787147371</v>
      </c>
      <c r="I408" s="50">
        <f t="shared" si="270"/>
        <v>0.027034735205035923</v>
      </c>
      <c r="J408" s="3">
        <f t="shared" si="282"/>
        <v>10.331371490623145</v>
      </c>
      <c r="K408" s="12">
        <f t="shared" si="257"/>
        <v>0.817290172793709</v>
      </c>
      <c r="L408" s="3">
        <f t="shared" si="283"/>
        <v>1291.3833192731806</v>
      </c>
      <c r="M408" s="12">
        <f t="shared" si="256"/>
        <v>0.7261539146890502</v>
      </c>
      <c r="N408" s="37">
        <f t="shared" si="284"/>
        <v>26028.072069294092</v>
      </c>
      <c r="O408" s="1">
        <f t="shared" si="275"/>
        <v>203483.52689844416</v>
      </c>
      <c r="P408">
        <f t="shared" si="285"/>
        <v>451.09148395690664</v>
      </c>
      <c r="Q408" s="1">
        <f t="shared" si="286"/>
        <v>11741.041654275186</v>
      </c>
      <c r="R408" s="1">
        <f>+Q408*1000/'Material Properties'!AE$35</f>
        <v>10068957.793462759</v>
      </c>
      <c r="S408" s="1">
        <f t="shared" si="287"/>
        <v>547.2259670360195</v>
      </c>
      <c r="T408" s="1">
        <f t="shared" si="288"/>
        <v>235.94842312148944</v>
      </c>
      <c r="U408">
        <f t="shared" si="276"/>
        <v>3.621683390140215E-05</v>
      </c>
      <c r="V408">
        <f>+'Material Properties'!AE$31+'Material Properties'!AE$33</f>
        <v>0.00029034311030761144</v>
      </c>
      <c r="W408">
        <f t="shared" si="260"/>
        <v>0.0003265599442090136</v>
      </c>
      <c r="X408" s="1">
        <f>+'Volcano Summary'!E$12*10^9/Q408/3600/24/365</f>
        <v>0</v>
      </c>
      <c r="Y408" s="3">
        <f t="shared" si="261"/>
        <v>200</v>
      </c>
      <c r="Z408" s="1">
        <f>+Y408*'Volcano Summary'!B$19*'Volcano Summary'!B$20/1000</f>
        <v>8100000</v>
      </c>
      <c r="AA408" s="1">
        <f t="shared" si="277"/>
        <v>689887.6810517577</v>
      </c>
      <c r="AB408" s="3">
        <f t="shared" si="269"/>
        <v>191.63546695882158</v>
      </c>
      <c r="AC408" s="1">
        <f t="shared" si="262"/>
        <v>20556572.172693912</v>
      </c>
      <c r="AD408" s="36">
        <f t="shared" si="263"/>
        <v>5710.1589368594205</v>
      </c>
      <c r="AE408" s="36">
        <f t="shared" si="268"/>
        <v>237.92328903580918</v>
      </c>
      <c r="AG408" s="1">
        <f t="shared" si="278"/>
        <v>8100000000.000001</v>
      </c>
      <c r="AH408" s="1">
        <f t="shared" si="264"/>
        <v>8100000</v>
      </c>
      <c r="AI408" s="1">
        <f t="shared" si="265"/>
        <v>8108100000.000001</v>
      </c>
      <c r="AJ408" s="1">
        <f t="shared" si="266"/>
        <v>202500000000</v>
      </c>
      <c r="AK408" s="1">
        <f t="shared" si="267"/>
        <v>202702500000</v>
      </c>
      <c r="AL408" s="39">
        <f>+AJ408/('Volcano Summary'!C$8)*10^6</f>
        <v>14058.132800142695</v>
      </c>
      <c r="AM408" s="1">
        <f t="shared" si="279"/>
        <v>237.92328903580918</v>
      </c>
    </row>
    <row r="409" spans="1:39" ht="12.75">
      <c r="A409" s="1">
        <f t="shared" si="258"/>
        <v>689887.6810517577</v>
      </c>
      <c r="B409" s="1">
        <f t="shared" si="259"/>
        <v>245.80677814794987</v>
      </c>
      <c r="C409" s="1">
        <f t="shared" si="271"/>
        <v>18600</v>
      </c>
      <c r="D409" s="1">
        <f t="shared" si="280"/>
        <v>153.89040103942165</v>
      </c>
      <c r="E409" s="38">
        <f t="shared" si="272"/>
        <v>1624740547.434247</v>
      </c>
      <c r="F409" s="38">
        <f t="shared" si="273"/>
        <v>1044623739.7313756</v>
      </c>
      <c r="G409" s="38">
        <f t="shared" si="274"/>
        <v>464506932.0285038</v>
      </c>
      <c r="H409" s="18">
        <f t="shared" si="281"/>
        <v>0.003249065546797272</v>
      </c>
      <c r="I409" s="50">
        <f t="shared" si="270"/>
        <v>0.027009228967550095</v>
      </c>
      <c r="J409" s="3">
        <f t="shared" si="282"/>
        <v>10.275475528402588</v>
      </c>
      <c r="K409" s="12">
        <f t="shared" si="257"/>
        <v>0.8160604616248568</v>
      </c>
      <c r="L409" s="3">
        <f t="shared" si="283"/>
        <v>1289.4402780574135</v>
      </c>
      <c r="M409" s="12">
        <f t="shared" si="256"/>
        <v>0.7257905909346165</v>
      </c>
      <c r="N409" s="37">
        <f t="shared" si="284"/>
        <v>26310.985896134247</v>
      </c>
      <c r="O409" s="1">
        <f t="shared" si="275"/>
        <v>204282.59445618346</v>
      </c>
      <c r="P409">
        <f t="shared" si="285"/>
        <v>451.9763206808333</v>
      </c>
      <c r="Q409" s="1">
        <f t="shared" si="286"/>
        <v>11891.942598820055</v>
      </c>
      <c r="R409" s="1">
        <f>+Q409*1000/'Material Properties'!AE$35</f>
        <v>10198368.393165613</v>
      </c>
      <c r="S409" s="1">
        <f t="shared" si="287"/>
        <v>548.2993759766458</v>
      </c>
      <c r="T409" s="1">
        <f t="shared" si="288"/>
        <v>237.17904950819684</v>
      </c>
      <c r="U409">
        <f t="shared" si="276"/>
        <v>3.6029629728947106E-05</v>
      </c>
      <c r="V409">
        <f>+'Material Properties'!AE$31+'Material Properties'!AE$33</f>
        <v>0.00029034311030761144</v>
      </c>
      <c r="W409">
        <f t="shared" si="260"/>
        <v>0.0003263727400365585</v>
      </c>
      <c r="X409" s="1">
        <f>+'Volcano Summary'!E$12*10^9/Q409/3600/24/365</f>
        <v>0</v>
      </c>
      <c r="Y409" s="3">
        <f t="shared" si="261"/>
        <v>200</v>
      </c>
      <c r="Z409" s="1">
        <f>+Y409*'Volcano Summary'!B$19*'Volcano Summary'!B$20/1000</f>
        <v>8100000</v>
      </c>
      <c r="AA409" s="1">
        <f t="shared" si="277"/>
        <v>681133.4592889559</v>
      </c>
      <c r="AB409" s="3">
        <f t="shared" si="269"/>
        <v>189.20373869137663</v>
      </c>
      <c r="AC409" s="1">
        <f t="shared" si="262"/>
        <v>21237705.631982867</v>
      </c>
      <c r="AD409" s="36">
        <f t="shared" si="263"/>
        <v>5899.362675550797</v>
      </c>
      <c r="AE409" s="36">
        <f t="shared" si="268"/>
        <v>245.80677814794987</v>
      </c>
      <c r="AG409" s="1">
        <f t="shared" si="278"/>
        <v>8100000000</v>
      </c>
      <c r="AH409" s="1">
        <f t="shared" si="264"/>
        <v>8100000</v>
      </c>
      <c r="AI409" s="1">
        <f t="shared" si="265"/>
        <v>8108100000</v>
      </c>
      <c r="AJ409" s="1">
        <f t="shared" si="266"/>
        <v>210600000000</v>
      </c>
      <c r="AK409" s="1">
        <f t="shared" si="267"/>
        <v>210810600000</v>
      </c>
      <c r="AL409" s="39">
        <f>+AJ409/('Volcano Summary'!C$8)*10^6</f>
        <v>14620.458112148404</v>
      </c>
      <c r="AM409" s="1">
        <f t="shared" si="279"/>
        <v>245.80677814794987</v>
      </c>
    </row>
    <row r="410" spans="1:39" ht="12.75">
      <c r="A410" s="1">
        <f t="shared" si="258"/>
        <v>681133.4592889559</v>
      </c>
      <c r="B410" s="1">
        <f t="shared" si="259"/>
        <v>253.59128760986542</v>
      </c>
      <c r="C410" s="1">
        <f t="shared" si="271"/>
        <v>18800</v>
      </c>
      <c r="D410" s="1">
        <f t="shared" si="280"/>
        <v>154.71555655790098</v>
      </c>
      <c r="E410" s="38">
        <f t="shared" si="272"/>
        <v>1633452355.4466848</v>
      </c>
      <c r="F410" s="38">
        <f t="shared" si="273"/>
        <v>1050224979.5601873</v>
      </c>
      <c r="G410" s="38">
        <f t="shared" si="274"/>
        <v>466997603.67369</v>
      </c>
      <c r="H410" s="18">
        <f t="shared" si="281"/>
        <v>0.0032317370736592945</v>
      </c>
      <c r="I410" s="50">
        <f t="shared" si="270"/>
        <v>0.026984042844057487</v>
      </c>
      <c r="J410" s="3">
        <f t="shared" si="282"/>
        <v>10.220533165635137</v>
      </c>
      <c r="K410" s="12">
        <f t="shared" si="257"/>
        <v>0.8148517296439728</v>
      </c>
      <c r="L410" s="3">
        <f t="shared" si="283"/>
        <v>1287.5303856231878</v>
      </c>
      <c r="M410" s="12">
        <f aca="true" t="shared" si="289" ref="M410:M416">0.698-(6-J410)/2*(0.698-0.685)</f>
        <v>0.7254334655766281</v>
      </c>
      <c r="N410" s="37">
        <f t="shared" si="284"/>
        <v>26593.89972297439</v>
      </c>
      <c r="O410" s="1">
        <f t="shared" si="275"/>
        <v>205076.5475038236</v>
      </c>
      <c r="P410">
        <f t="shared" si="285"/>
        <v>452.85378159382043</v>
      </c>
      <c r="Q410" s="1">
        <f t="shared" si="286"/>
        <v>12043.148056875807</v>
      </c>
      <c r="R410" s="1">
        <f>+Q410*1000/'Material Properties'!AE$35</f>
        <v>10328040.13951788</v>
      </c>
      <c r="S410" s="1">
        <f t="shared" si="287"/>
        <v>549.3638372083979</v>
      </c>
      <c r="T410" s="1">
        <f t="shared" si="288"/>
        <v>238.38402392896205</v>
      </c>
      <c r="U410">
        <f t="shared" si="276"/>
        <v>3.584819353650865E-05</v>
      </c>
      <c r="V410">
        <f>+'Material Properties'!AE$31+'Material Properties'!AE$33</f>
        <v>0.00029034311030761144</v>
      </c>
      <c r="W410">
        <f t="shared" si="260"/>
        <v>0.0003261913038441201</v>
      </c>
      <c r="X410" s="1">
        <f>+'Volcano Summary'!E$12*10^9/Q410/3600/24/365</f>
        <v>0</v>
      </c>
      <c r="Y410" s="3">
        <f t="shared" si="261"/>
        <v>200</v>
      </c>
      <c r="Z410" s="1">
        <f>+Y410*'Volcano Summary'!B$19*'Volcano Summary'!B$20/1000</f>
        <v>8100000</v>
      </c>
      <c r="AA410" s="1">
        <f t="shared" si="277"/>
        <v>672581.6175095064</v>
      </c>
      <c r="AB410" s="3">
        <f t="shared" si="269"/>
        <v>186.828227085974</v>
      </c>
      <c r="AC410" s="1">
        <f t="shared" si="262"/>
        <v>21910287.249492373</v>
      </c>
      <c r="AD410" s="36">
        <f t="shared" si="263"/>
        <v>6086.19090263677</v>
      </c>
      <c r="AE410" s="36">
        <f t="shared" si="268"/>
        <v>253.59128760986542</v>
      </c>
      <c r="AG410" s="1">
        <f t="shared" si="278"/>
        <v>8099999999.999999</v>
      </c>
      <c r="AH410" s="1">
        <f t="shared" si="264"/>
        <v>8100000</v>
      </c>
      <c r="AI410" s="1">
        <f t="shared" si="265"/>
        <v>8108099999.999999</v>
      </c>
      <c r="AJ410" s="1">
        <f t="shared" si="266"/>
        <v>218700000000</v>
      </c>
      <c r="AK410" s="1">
        <f t="shared" si="267"/>
        <v>218918700000</v>
      </c>
      <c r="AL410" s="39">
        <f>+AJ410/('Volcano Summary'!C$8)*10^6</f>
        <v>15182.783424154113</v>
      </c>
      <c r="AM410" s="1">
        <f t="shared" si="279"/>
        <v>253.59128760986542</v>
      </c>
    </row>
    <row r="411" spans="1:39" ht="12.75">
      <c r="A411" s="1">
        <f t="shared" si="258"/>
        <v>672581.6175095064</v>
      </c>
      <c r="B411" s="1">
        <f t="shared" si="259"/>
        <v>261.27908182023003</v>
      </c>
      <c r="C411" s="1">
        <f t="shared" si="271"/>
        <v>19000</v>
      </c>
      <c r="D411" s="1">
        <f t="shared" si="280"/>
        <v>155.53633450087506</v>
      </c>
      <c r="E411" s="38">
        <f t="shared" si="272"/>
        <v>1642117945.99283</v>
      </c>
      <c r="F411" s="38">
        <f t="shared" si="273"/>
        <v>1055796503.9599384</v>
      </c>
      <c r="G411" s="38">
        <f t="shared" si="274"/>
        <v>469475061.9270472</v>
      </c>
      <c r="H411" s="18">
        <f t="shared" si="281"/>
        <v>0.0032146829331199584</v>
      </c>
      <c r="I411" s="50">
        <f t="shared" si="270"/>
        <v>0.026959169431957017</v>
      </c>
      <c r="J411" s="3">
        <f t="shared" si="282"/>
        <v>10.16651818640015</v>
      </c>
      <c r="K411" s="12">
        <f aca="true" t="shared" si="290" ref="K411:K416">0.722-(6-J411)/2*(0.722-0.678)</f>
        <v>0.8136634001008032</v>
      </c>
      <c r="L411" s="3">
        <f t="shared" si="283"/>
        <v>1285.6527306593416</v>
      </c>
      <c r="M411" s="12">
        <f t="shared" si="289"/>
        <v>0.7250823682116008</v>
      </c>
      <c r="N411" s="37">
        <f t="shared" si="284"/>
        <v>26876.813549814557</v>
      </c>
      <c r="O411" s="1">
        <f t="shared" si="275"/>
        <v>205865.46463887088</v>
      </c>
      <c r="P411">
        <f t="shared" si="285"/>
        <v>453.7239961021137</v>
      </c>
      <c r="Q411" s="1">
        <f t="shared" si="286"/>
        <v>12194.655246313296</v>
      </c>
      <c r="R411" s="1">
        <f>+Q411*1000/'Material Properties'!AE$35</f>
        <v>10457970.646603404</v>
      </c>
      <c r="S411" s="1">
        <f t="shared" si="287"/>
        <v>550.4195077159686</v>
      </c>
      <c r="T411" s="1">
        <f t="shared" si="288"/>
        <v>239.56415848217966</v>
      </c>
      <c r="U411">
        <f t="shared" si="276"/>
        <v>3.567226007461603E-05</v>
      </c>
      <c r="V411">
        <f>+'Material Properties'!AE$31+'Material Properties'!AE$33</f>
        <v>0.00029034311030761144</v>
      </c>
      <c r="W411">
        <f t="shared" si="260"/>
        <v>0.00032601537038222747</v>
      </c>
      <c r="X411" s="1">
        <f>+'Volcano Summary'!E$12*10^9/Q411/3600/24/365</f>
        <v>0</v>
      </c>
      <c r="Y411" s="3">
        <f t="shared" si="261"/>
        <v>200</v>
      </c>
      <c r="Z411" s="1">
        <f>+Y411*'Volcano Summary'!B$19*'Volcano Summary'!B$20/1000</f>
        <v>8100000</v>
      </c>
      <c r="AA411" s="1">
        <f t="shared" si="277"/>
        <v>664225.4197755039</v>
      </c>
      <c r="AB411" s="3">
        <f t="shared" si="269"/>
        <v>184.5070610487511</v>
      </c>
      <c r="AC411" s="1">
        <f t="shared" si="262"/>
        <v>22574512.669267878</v>
      </c>
      <c r="AD411" s="36">
        <f t="shared" si="263"/>
        <v>6270.697963685521</v>
      </c>
      <c r="AE411" s="36">
        <f t="shared" si="268"/>
        <v>261.27908182023003</v>
      </c>
      <c r="AG411" s="1">
        <f t="shared" si="278"/>
        <v>8100000000</v>
      </c>
      <c r="AH411" s="1">
        <f t="shared" si="264"/>
        <v>8100000</v>
      </c>
      <c r="AI411" s="1">
        <f t="shared" si="265"/>
        <v>8108100000</v>
      </c>
      <c r="AJ411" s="1">
        <f t="shared" si="266"/>
        <v>226800000000</v>
      </c>
      <c r="AK411" s="1">
        <f t="shared" si="267"/>
        <v>227026800000</v>
      </c>
      <c r="AL411" s="39">
        <f>+AJ411/('Volcano Summary'!C$8)*10^6</f>
        <v>15745.108736159822</v>
      </c>
      <c r="AM411" s="1">
        <f t="shared" si="279"/>
        <v>261.27908182023003</v>
      </c>
    </row>
    <row r="412" spans="1:39" ht="12.75">
      <c r="A412" s="1">
        <f t="shared" si="258"/>
        <v>664225.4197755039</v>
      </c>
      <c r="B412" s="1">
        <f t="shared" si="259"/>
        <v>268.8723505870606</v>
      </c>
      <c r="C412" s="1">
        <f t="shared" si="271"/>
        <v>19200</v>
      </c>
      <c r="D412" s="1">
        <f t="shared" si="280"/>
        <v>156.35280380893437</v>
      </c>
      <c r="E412" s="38">
        <f t="shared" si="272"/>
        <v>1650738046.9320676</v>
      </c>
      <c r="F412" s="38">
        <f t="shared" si="273"/>
        <v>1061338780.906389</v>
      </c>
      <c r="G412" s="38">
        <f t="shared" si="274"/>
        <v>471939514.88071066</v>
      </c>
      <c r="H412" s="18">
        <f t="shared" si="281"/>
        <v>0.0031978959623327765</v>
      </c>
      <c r="I412" s="50">
        <f t="shared" si="270"/>
        <v>0.026934601576078077</v>
      </c>
      <c r="J412" s="3">
        <f t="shared" si="282"/>
        <v>10.113405362718211</v>
      </c>
      <c r="K412" s="12">
        <f t="shared" si="290"/>
        <v>0.8124949179798004</v>
      </c>
      <c r="L412" s="3">
        <f t="shared" si="283"/>
        <v>1283.8064361972733</v>
      </c>
      <c r="M412" s="12">
        <f t="shared" si="289"/>
        <v>0.7247371348576681</v>
      </c>
      <c r="N412" s="37">
        <f t="shared" si="284"/>
        <v>27159.727376654704</v>
      </c>
      <c r="O412" s="1">
        <f t="shared" si="275"/>
        <v>206649.42247088908</v>
      </c>
      <c r="P412">
        <f t="shared" si="285"/>
        <v>454.5870900838354</v>
      </c>
      <c r="Q412" s="1">
        <f t="shared" si="286"/>
        <v>12346.461435623743</v>
      </c>
      <c r="R412" s="1">
        <f>+Q412*1000/'Material Properties'!AE$35</f>
        <v>10588157.571917372</v>
      </c>
      <c r="S412" s="1">
        <f t="shared" si="287"/>
        <v>551.4665402040298</v>
      </c>
      <c r="T412" s="1">
        <f t="shared" si="288"/>
        <v>240.7202311172298</v>
      </c>
      <c r="U412">
        <f t="shared" si="276"/>
        <v>3.55015801463999E-05</v>
      </c>
      <c r="V412">
        <f>+'Material Properties'!AE$31+'Material Properties'!AE$33</f>
        <v>0.00029034311030761144</v>
      </c>
      <c r="W412">
        <f t="shared" si="260"/>
        <v>0.00032584469045401134</v>
      </c>
      <c r="X412" s="1">
        <f>+'Volcano Summary'!E$12*10^9/Q412/3600/24/365</f>
        <v>0</v>
      </c>
      <c r="Y412" s="3">
        <f t="shared" si="261"/>
        <v>200</v>
      </c>
      <c r="Z412" s="1">
        <f>+Y412*'Volcano Summary'!B$19*'Volcano Summary'!B$20/1000</f>
        <v>8100000</v>
      </c>
      <c r="AA412" s="1">
        <f t="shared" si="277"/>
        <v>656058.421454162</v>
      </c>
      <c r="AB412" s="3">
        <f t="shared" si="269"/>
        <v>182.23845040393388</v>
      </c>
      <c r="AC412" s="1">
        <f t="shared" si="262"/>
        <v>23230571.09072204</v>
      </c>
      <c r="AD412" s="36">
        <f t="shared" si="263"/>
        <v>6452.936414089455</v>
      </c>
      <c r="AE412" s="36">
        <f t="shared" si="268"/>
        <v>268.8723505870606</v>
      </c>
      <c r="AG412" s="1">
        <f t="shared" si="278"/>
        <v>8100000000</v>
      </c>
      <c r="AH412" s="1">
        <f t="shared" si="264"/>
        <v>8100000</v>
      </c>
      <c r="AI412" s="1">
        <f t="shared" si="265"/>
        <v>8108100000</v>
      </c>
      <c r="AJ412" s="1">
        <f t="shared" si="266"/>
        <v>234900000000</v>
      </c>
      <c r="AK412" s="1">
        <f t="shared" si="267"/>
        <v>235134900000</v>
      </c>
      <c r="AL412" s="39">
        <f>+AJ412/('Volcano Summary'!C$8)*10^6</f>
        <v>16307.434048165529</v>
      </c>
      <c r="AM412" s="1">
        <f t="shared" si="279"/>
        <v>268.8723505870606</v>
      </c>
    </row>
    <row r="413" spans="1:39" ht="12.75">
      <c r="A413" s="1">
        <f t="shared" si="258"/>
        <v>656058.421454162</v>
      </c>
      <c r="B413" s="1">
        <f t="shared" si="259"/>
        <v>276.37321232055365</v>
      </c>
      <c r="C413" s="1">
        <f t="shared" si="271"/>
        <v>19400</v>
      </c>
      <c r="D413" s="1">
        <f t="shared" si="280"/>
        <v>157.1650316319192</v>
      </c>
      <c r="E413" s="38">
        <f t="shared" si="272"/>
        <v>1659313367.2174416</v>
      </c>
      <c r="F413" s="38">
        <f t="shared" si="273"/>
        <v>1066852266.2195044</v>
      </c>
      <c r="G413" s="38">
        <f t="shared" si="274"/>
        <v>474391165.22156745</v>
      </c>
      <c r="H413" s="18">
        <f t="shared" si="281"/>
        <v>0.003181369257577608</v>
      </c>
      <c r="I413" s="50">
        <f t="shared" si="270"/>
        <v>0.026910332357919793</v>
      </c>
      <c r="J413" s="3">
        <f t="shared" si="282"/>
        <v>10.061170407468197</v>
      </c>
      <c r="K413" s="12">
        <f t="shared" si="290"/>
        <v>0.8113457489643001</v>
      </c>
      <c r="L413" s="3">
        <f t="shared" si="283"/>
        <v>1281.9906579742587</v>
      </c>
      <c r="M413" s="12">
        <f t="shared" si="289"/>
        <v>0.724397607648543</v>
      </c>
      <c r="N413" s="37">
        <f t="shared" si="284"/>
        <v>27442.641203494866</v>
      </c>
      <c r="O413" s="1">
        <f t="shared" si="275"/>
        <v>207428.49569165244</v>
      </c>
      <c r="P413">
        <f t="shared" si="285"/>
        <v>455.44318601956536</v>
      </c>
      <c r="Q413" s="1">
        <f t="shared" si="286"/>
        <v>12498.5639425115</v>
      </c>
      <c r="R413" s="1">
        <f>+Q413*1000/'Material Properties'!AE$35</f>
        <v>10718598.615159482</v>
      </c>
      <c r="S413" s="1">
        <f t="shared" si="287"/>
        <v>552.5050832556434</v>
      </c>
      <c r="T413" s="1">
        <f t="shared" si="288"/>
        <v>241.85298741489783</v>
      </c>
      <c r="U413">
        <f t="shared" si="276"/>
        <v>3.533591941070205E-05</v>
      </c>
      <c r="V413">
        <f>+'Material Properties'!AE$31+'Material Properties'!AE$33</f>
        <v>0.00029034311030761144</v>
      </c>
      <c r="W413">
        <f t="shared" si="260"/>
        <v>0.0003256790297183135</v>
      </c>
      <c r="X413" s="1">
        <f>+'Volcano Summary'!E$12*10^9/Q413/3600/24/365</f>
        <v>0</v>
      </c>
      <c r="Y413" s="3">
        <f t="shared" si="261"/>
        <v>200</v>
      </c>
      <c r="Z413" s="1">
        <f>+Y413*'Volcano Summary'!B$19*'Volcano Summary'!B$20/1000</f>
        <v>8100000</v>
      </c>
      <c r="AA413" s="1">
        <f t="shared" si="277"/>
        <v>648074.4537737957</v>
      </c>
      <c r="AB413" s="3">
        <f t="shared" si="269"/>
        <v>180.02068160383214</v>
      </c>
      <c r="AC413" s="1">
        <f t="shared" si="262"/>
        <v>23878645.544495836</v>
      </c>
      <c r="AD413" s="36">
        <f t="shared" si="263"/>
        <v>6632.957095693288</v>
      </c>
      <c r="AE413" s="36">
        <f t="shared" si="268"/>
        <v>276.37321232055365</v>
      </c>
      <c r="AG413" s="1">
        <f t="shared" si="278"/>
        <v>8100000000</v>
      </c>
      <c r="AH413" s="1">
        <f t="shared" si="264"/>
        <v>8100000</v>
      </c>
      <c r="AI413" s="1">
        <f t="shared" si="265"/>
        <v>8108100000</v>
      </c>
      <c r="AJ413" s="1">
        <f t="shared" si="266"/>
        <v>243000000000</v>
      </c>
      <c r="AK413" s="1">
        <f t="shared" si="267"/>
        <v>243243000000</v>
      </c>
      <c r="AL413" s="39">
        <f>+AJ413/('Volcano Summary'!C$8)*10^6</f>
        <v>16869.759360171236</v>
      </c>
      <c r="AM413" s="1">
        <f t="shared" si="279"/>
        <v>276.37321232055365</v>
      </c>
    </row>
    <row r="414" spans="1:39" ht="12.75">
      <c r="A414" s="1">
        <f t="shared" si="258"/>
        <v>648074.4537737957</v>
      </c>
      <c r="B414" s="1">
        <f t="shared" si="259"/>
        <v>283.7837170583614</v>
      </c>
      <c r="C414" s="1">
        <f t="shared" si="271"/>
        <v>19600</v>
      </c>
      <c r="D414" s="1">
        <f t="shared" si="280"/>
        <v>157.97308339337178</v>
      </c>
      <c r="E414" s="38">
        <f t="shared" si="272"/>
        <v>1667844597.576126</v>
      </c>
      <c r="F414" s="38">
        <f t="shared" si="273"/>
        <v>1072337404.0009627</v>
      </c>
      <c r="G414" s="38">
        <f t="shared" si="274"/>
        <v>476830210.42579955</v>
      </c>
      <c r="H414" s="18">
        <f t="shared" si="281"/>
        <v>0.0031650961623312782</v>
      </c>
      <c r="I414" s="50">
        <f t="shared" si="270"/>
        <v>0.026886355085464313</v>
      </c>
      <c r="J414" s="3">
        <f t="shared" si="282"/>
        <v>10.009789930007916</v>
      </c>
      <c r="K414" s="12">
        <f t="shared" si="290"/>
        <v>0.810215378460174</v>
      </c>
      <c r="L414" s="3">
        <f t="shared" si="283"/>
        <v>1280.2045828907458</v>
      </c>
      <c r="M414" s="12">
        <f t="shared" si="289"/>
        <v>0.7240636345450512</v>
      </c>
      <c r="N414" s="37">
        <f t="shared" si="284"/>
        <v>27725.555030335017</v>
      </c>
      <c r="O414" s="1">
        <f t="shared" si="275"/>
        <v>208202.75714212976</v>
      </c>
      <c r="P414">
        <f t="shared" si="285"/>
        <v>456.29240311682787</v>
      </c>
      <c r="Q414" s="1">
        <f t="shared" si="286"/>
        <v>12650.960132539421</v>
      </c>
      <c r="R414" s="1">
        <f>+Q414*1000/'Material Properties'!AE$35</f>
        <v>10849291.517072227</v>
      </c>
      <c r="S414" s="1">
        <f t="shared" si="287"/>
        <v>553.5352814832769</v>
      </c>
      <c r="T414" s="1">
        <f t="shared" si="288"/>
        <v>242.96314225747096</v>
      </c>
      <c r="U414">
        <f t="shared" si="276"/>
        <v>3.517505729071367E-05</v>
      </c>
      <c r="V414">
        <f>+'Material Properties'!AE$31+'Material Properties'!AE$33</f>
        <v>0.00029034311030761144</v>
      </c>
      <c r="W414">
        <f t="shared" si="260"/>
        <v>0.0003255181675983251</v>
      </c>
      <c r="X414" s="1">
        <f>+'Volcano Summary'!E$12*10^9/Q414/3600/24/365</f>
        <v>0</v>
      </c>
      <c r="Y414" s="3">
        <f t="shared" si="261"/>
        <v>200</v>
      </c>
      <c r="Z414" s="1">
        <f>+Y414*'Volcano Summary'!B$19*'Volcano Summary'!B$20/1000</f>
        <v>8100000</v>
      </c>
      <c r="AA414" s="1">
        <f t="shared" si="277"/>
        <v>640267.6093465872</v>
      </c>
      <c r="AB414" s="3">
        <f t="shared" si="269"/>
        <v>177.85211370738534</v>
      </c>
      <c r="AC414" s="1">
        <f t="shared" si="262"/>
        <v>24518913.153842423</v>
      </c>
      <c r="AD414" s="36">
        <f t="shared" si="263"/>
        <v>6810.809209400673</v>
      </c>
      <c r="AE414" s="36">
        <f t="shared" si="268"/>
        <v>283.7837170583614</v>
      </c>
      <c r="AG414" s="1">
        <f t="shared" si="278"/>
        <v>8099999999.999999</v>
      </c>
      <c r="AH414" s="1">
        <f t="shared" si="264"/>
        <v>8100000</v>
      </c>
      <c r="AI414" s="1">
        <f t="shared" si="265"/>
        <v>8108099999.999999</v>
      </c>
      <c r="AJ414" s="1">
        <f t="shared" si="266"/>
        <v>251100000000</v>
      </c>
      <c r="AK414" s="1">
        <f t="shared" si="267"/>
        <v>251351100000</v>
      </c>
      <c r="AL414" s="39">
        <f>+AJ414/('Volcano Summary'!C$8)*10^6</f>
        <v>17432.08467217694</v>
      </c>
      <c r="AM414" s="1">
        <f t="shared" si="279"/>
        <v>283.7837170583614</v>
      </c>
    </row>
    <row r="415" spans="1:39" ht="12.75">
      <c r="A415" s="1">
        <f t="shared" si="258"/>
        <v>640267.6093465872</v>
      </c>
      <c r="B415" s="1">
        <f t="shared" si="259"/>
        <v>291.1058493336915</v>
      </c>
      <c r="C415" s="1">
        <f t="shared" si="271"/>
        <v>19800</v>
      </c>
      <c r="D415" s="1">
        <f t="shared" si="280"/>
        <v>158.77702285203682</v>
      </c>
      <c r="E415" s="38">
        <f t="shared" si="272"/>
        <v>1676332411.158734</v>
      </c>
      <c r="F415" s="38">
        <f t="shared" si="273"/>
        <v>1077794627.051627</v>
      </c>
      <c r="G415" s="38">
        <f t="shared" si="274"/>
        <v>479256842.9445198</v>
      </c>
      <c r="H415" s="18">
        <f t="shared" si="281"/>
        <v>0.003149070256002636</v>
      </c>
      <c r="I415" s="50">
        <f t="shared" si="270"/>
        <v>0.026862663283527818</v>
      </c>
      <c r="J415" s="3">
        <f t="shared" si="282"/>
        <v>9.959241394317155</v>
      </c>
      <c r="K415" s="12">
        <f t="shared" si="290"/>
        <v>0.8091033106749772</v>
      </c>
      <c r="L415" s="3">
        <f t="shared" si="283"/>
        <v>1278.4474275553337</v>
      </c>
      <c r="M415" s="12">
        <f t="shared" si="289"/>
        <v>0.7237350690630613</v>
      </c>
      <c r="N415" s="37">
        <f t="shared" si="284"/>
        <v>28008.468857175158</v>
      </c>
      <c r="O415" s="1">
        <f t="shared" si="275"/>
        <v>208972.27787647498</v>
      </c>
      <c r="P415">
        <f t="shared" si="285"/>
        <v>457.13485742882807</v>
      </c>
      <c r="Q415" s="1">
        <f t="shared" si="286"/>
        <v>12803.647417824537</v>
      </c>
      <c r="R415" s="1">
        <f>+Q415*1000/'Material Properties'!AE$35</f>
        <v>10980234.058322342</v>
      </c>
      <c r="S415" s="1">
        <f t="shared" si="287"/>
        <v>554.5572756728455</v>
      </c>
      <c r="T415" s="1">
        <f t="shared" si="288"/>
        <v>244.05138139640508</v>
      </c>
      <c r="U415">
        <f t="shared" si="276"/>
        <v>3.501878597744413E-05</v>
      </c>
      <c r="V415">
        <f>+'Material Properties'!AE$31+'Material Properties'!AE$33</f>
        <v>0.00029034311030761144</v>
      </c>
      <c r="W415">
        <f t="shared" si="260"/>
        <v>0.0003253618962850556</v>
      </c>
      <c r="X415" s="1">
        <f>+'Volcano Summary'!E$12*10^9/Q415/3600/24/365</f>
        <v>0</v>
      </c>
      <c r="Y415" s="3">
        <f t="shared" si="261"/>
        <v>200</v>
      </c>
      <c r="Z415" s="1">
        <f>+Y415*'Volcano Summary'!B$19*'Volcano Summary'!B$20/1000</f>
        <v>8100000</v>
      </c>
      <c r="AA415" s="1">
        <f t="shared" si="277"/>
        <v>632632.228588521</v>
      </c>
      <c r="AB415" s="3">
        <f t="shared" si="269"/>
        <v>175.7311746079225</v>
      </c>
      <c r="AC415" s="1">
        <f t="shared" si="262"/>
        <v>25151545.382430945</v>
      </c>
      <c r="AD415" s="36">
        <f t="shared" si="263"/>
        <v>6986.5403840085955</v>
      </c>
      <c r="AE415" s="36">
        <f t="shared" si="268"/>
        <v>291.1058493336915</v>
      </c>
      <c r="AG415" s="1">
        <f t="shared" si="278"/>
        <v>8099999999.999999</v>
      </c>
      <c r="AH415" s="1">
        <f t="shared" si="264"/>
        <v>8100000</v>
      </c>
      <c r="AI415" s="1">
        <f t="shared" si="265"/>
        <v>8108099999.999999</v>
      </c>
      <c r="AJ415" s="1">
        <f t="shared" si="266"/>
        <v>259200000000</v>
      </c>
      <c r="AK415" s="1">
        <f t="shared" si="267"/>
        <v>259459200000</v>
      </c>
      <c r="AL415" s="39">
        <f>+AJ415/('Volcano Summary'!C$8)*10^6</f>
        <v>17994.40998418265</v>
      </c>
      <c r="AM415" s="1">
        <f t="shared" si="279"/>
        <v>291.1058493336915</v>
      </c>
    </row>
    <row r="416" spans="1:39" ht="12.75">
      <c r="A416" s="1">
        <f t="shared" si="258"/>
        <v>632632.228588521</v>
      </c>
      <c r="B416" s="1">
        <f t="shared" si="259"/>
        <v>305.57721245805584</v>
      </c>
      <c r="C416" s="1">
        <f t="shared" si="271"/>
        <v>20000</v>
      </c>
      <c r="D416" s="1">
        <f t="shared" si="280"/>
        <v>159.57691216057307</v>
      </c>
      <c r="E416" s="38">
        <f t="shared" si="272"/>
        <v>1684777464.1591814</v>
      </c>
      <c r="F416" s="38">
        <f t="shared" si="273"/>
        <v>1083224357.2700844</v>
      </c>
      <c r="G416" s="38">
        <f t="shared" si="274"/>
        <v>481671250.38098747</v>
      </c>
      <c r="H416" s="18">
        <f t="shared" si="281"/>
        <v>0.0031332853432887507</v>
      </c>
      <c r="I416" s="50">
        <f t="shared" si="270"/>
        <v>0.026839250684615845</v>
      </c>
      <c r="J416" s="3">
        <f t="shared" si="282"/>
        <v>9.90950307949594</v>
      </c>
      <c r="K416" s="12">
        <f t="shared" si="290"/>
        <v>0.8080090677489105</v>
      </c>
      <c r="L416" s="3">
        <f t="shared" si="283"/>
        <v>1276.7184369116253</v>
      </c>
      <c r="M416" s="12">
        <f t="shared" si="289"/>
        <v>0.7234117700167234</v>
      </c>
      <c r="N416" s="37">
        <f t="shared" si="284"/>
        <v>28291.382684015312</v>
      </c>
      <c r="O416" s="1">
        <f t="shared" si="275"/>
        <v>209737.12722318637</v>
      </c>
      <c r="P416">
        <f t="shared" si="285"/>
        <v>457.9706619677579</v>
      </c>
      <c r="Q416" s="1">
        <f t="shared" si="286"/>
        <v>12956.623255781657</v>
      </c>
      <c r="R416" s="1">
        <f>+Q416*1000/'Material Properties'!AE$35</f>
        <v>11111424.05842331</v>
      </c>
      <c r="S416" s="1">
        <f t="shared" si="287"/>
        <v>555.5712029211655</v>
      </c>
      <c r="T416" s="1">
        <f t="shared" si="288"/>
        <v>245.1183629248169</v>
      </c>
      <c r="U416">
        <f t="shared" si="276"/>
        <v>3.486690951854436E-05</v>
      </c>
      <c r="V416">
        <f>+'Material Properties'!AE$31+'Material Properties'!AE$33</f>
        <v>0.00029034311030761144</v>
      </c>
      <c r="W416">
        <f t="shared" si="260"/>
        <v>0.0003252100198261558</v>
      </c>
      <c r="X416" s="1">
        <f>+'Volcano Summary'!E$12*10^9/Q416/3600/24/365</f>
        <v>0</v>
      </c>
      <c r="Y416" s="3">
        <f t="shared" si="261"/>
        <v>400</v>
      </c>
      <c r="Z416" s="1">
        <f>+Y416*'Volcano Summary'!B$19*'Volcano Summary'!B$20/1000</f>
        <v>16200000</v>
      </c>
      <c r="AA416" s="1">
        <f t="shared" si="277"/>
        <v>1250325.7739450783</v>
      </c>
      <c r="AB416" s="3">
        <f t="shared" si="269"/>
        <v>347.31271498474393</v>
      </c>
      <c r="AC416" s="1">
        <f t="shared" si="262"/>
        <v>26401871.156376023</v>
      </c>
      <c r="AD416" s="36">
        <f t="shared" si="263"/>
        <v>7333.85309899334</v>
      </c>
      <c r="AE416" s="36">
        <f t="shared" si="268"/>
        <v>305.57721245805584</v>
      </c>
      <c r="AG416" s="1">
        <f t="shared" si="278"/>
        <v>16200000000</v>
      </c>
      <c r="AH416" s="1">
        <f t="shared" si="264"/>
        <v>16200000</v>
      </c>
      <c r="AI416" s="1">
        <f t="shared" si="265"/>
        <v>16216200000</v>
      </c>
      <c r="AJ416" s="1">
        <f t="shared" si="266"/>
        <v>275400000000</v>
      </c>
      <c r="AK416" s="1">
        <f t="shared" si="267"/>
        <v>275675400000</v>
      </c>
      <c r="AL416" s="39">
        <f>+AJ416/('Volcano Summary'!C$8)*10^6</f>
        <v>19119.060608194068</v>
      </c>
      <c r="AM416" s="1">
        <f t="shared" si="279"/>
        <v>305.57721245805584</v>
      </c>
    </row>
    <row r="417" spans="1:39" ht="12.75">
      <c r="A417" s="1">
        <f t="shared" si="258"/>
        <v>1250325.7739450783</v>
      </c>
      <c r="B417" s="1">
        <f t="shared" si="259"/>
        <v>319.0499733458035</v>
      </c>
      <c r="C417" s="1">
        <f t="shared" si="271"/>
        <v>20400</v>
      </c>
      <c r="D417" s="1">
        <f t="shared" si="280"/>
        <v>161.16478124142793</v>
      </c>
      <c r="E417" s="38">
        <f t="shared" si="272"/>
        <v>1701541831.9316792</v>
      </c>
      <c r="F417" s="38">
        <f t="shared" si="273"/>
        <v>1094002974.5603306</v>
      </c>
      <c r="G417" s="38">
        <f t="shared" si="274"/>
        <v>486464117.18898207</v>
      </c>
      <c r="H417" s="18">
        <f t="shared" si="281"/>
        <v>0.003102414784102182</v>
      </c>
      <c r="I417" s="50">
        <f t="shared" si="270"/>
        <v>0.026793239012749284</v>
      </c>
      <c r="J417" s="3">
        <f t="shared" si="282"/>
        <v>9.812374082713673</v>
      </c>
      <c r="K417" s="12">
        <f>0.678-(4-J417)*(0.678-0.642)</f>
        <v>0.8872454669776925</v>
      </c>
      <c r="L417" s="3">
        <f t="shared" si="283"/>
        <v>1401.9182345472038</v>
      </c>
      <c r="M417" s="12">
        <f>0.67-(4-J417)*(0.67-0.658)</f>
        <v>0.7397484889925642</v>
      </c>
      <c r="N417" s="37">
        <f t="shared" si="284"/>
        <v>28857.210337695626</v>
      </c>
      <c r="O417" s="1">
        <f t="shared" si="275"/>
        <v>232584.43631436356</v>
      </c>
      <c r="P417">
        <f t="shared" si="285"/>
        <v>482.2700864809713</v>
      </c>
      <c r="Q417" s="1">
        <f t="shared" si="286"/>
        <v>13916.96932516005</v>
      </c>
      <c r="R417" s="1">
        <f>+Q417*1000/'Material Properties'!AE$35</f>
        <v>11935003.798996663</v>
      </c>
      <c r="S417" s="1">
        <f t="shared" si="287"/>
        <v>585.0492058331697</v>
      </c>
      <c r="T417" s="1">
        <f t="shared" si="288"/>
        <v>158.07263587182774</v>
      </c>
      <c r="U417">
        <f t="shared" si="276"/>
        <v>5.3958342912021424E-05</v>
      </c>
      <c r="V417">
        <f>+'Material Properties'!AE$31+'Material Properties'!AE$33</f>
        <v>0.00029034311030761144</v>
      </c>
      <c r="W417">
        <f t="shared" si="260"/>
        <v>0.00034430145321963287</v>
      </c>
      <c r="X417" s="1">
        <f>+'Volcano Summary'!E$12*10^9/Q417/3600/24/365</f>
        <v>0</v>
      </c>
      <c r="Y417" s="3">
        <f t="shared" si="261"/>
        <v>400</v>
      </c>
      <c r="Z417" s="1">
        <f>+Y417*'Volcano Summary'!B$19*'Volcano Summary'!B$20/1000</f>
        <v>16200000</v>
      </c>
      <c r="AA417" s="1">
        <f t="shared" si="277"/>
        <v>1164046.540701396</v>
      </c>
      <c r="AB417" s="3">
        <f t="shared" si="269"/>
        <v>323.34626130594336</v>
      </c>
      <c r="AC417" s="1">
        <f t="shared" si="262"/>
        <v>27565917.69707742</v>
      </c>
      <c r="AD417" s="36">
        <f t="shared" si="263"/>
        <v>7657.199360299283</v>
      </c>
      <c r="AE417" s="36">
        <f t="shared" si="268"/>
        <v>319.0499733458035</v>
      </c>
      <c r="AG417" s="1">
        <f t="shared" si="278"/>
        <v>16199999999.999998</v>
      </c>
      <c r="AH417" s="1">
        <f t="shared" si="264"/>
        <v>16200000</v>
      </c>
      <c r="AI417" s="1">
        <f t="shared" si="265"/>
        <v>16216199999.999998</v>
      </c>
      <c r="AJ417" s="1">
        <f t="shared" si="266"/>
        <v>291600000000</v>
      </c>
      <c r="AK417" s="1">
        <f t="shared" si="267"/>
        <v>291891600000</v>
      </c>
      <c r="AL417" s="39">
        <f>+AJ417/('Volcano Summary'!C$8)*10^6</f>
        <v>20243.71123220548</v>
      </c>
      <c r="AM417" s="1">
        <f t="shared" si="279"/>
        <v>319.0499733458035</v>
      </c>
    </row>
    <row r="418" spans="1:39" ht="12.75">
      <c r="A418" s="1">
        <f t="shared" si="258"/>
        <v>1164046.540701396</v>
      </c>
      <c r="B418" s="1">
        <f t="shared" si="259"/>
        <v>332.2252951579559</v>
      </c>
      <c r="C418" s="1">
        <f t="shared" si="271"/>
        <v>20800</v>
      </c>
      <c r="D418" s="1">
        <f t="shared" si="280"/>
        <v>162.73715780512876</v>
      </c>
      <c r="E418" s="38">
        <f t="shared" si="272"/>
        <v>1718142633.1618068</v>
      </c>
      <c r="F418" s="38">
        <f t="shared" si="273"/>
        <v>1104676427.0638323</v>
      </c>
      <c r="G418" s="38">
        <f t="shared" si="274"/>
        <v>491210220.96585816</v>
      </c>
      <c r="H418" s="18">
        <f t="shared" si="281"/>
        <v>0.00307243905905454</v>
      </c>
      <c r="I418" s="50">
        <f t="shared" si="270"/>
        <v>0.0267482737650696</v>
      </c>
      <c r="J418" s="3">
        <f t="shared" si="282"/>
        <v>9.718244107808369</v>
      </c>
      <c r="K418" s="12">
        <f aca="true" t="shared" si="291" ref="K418:K477">0.678-(4-J418)*(0.678-0.642)</f>
        <v>0.8838567878811014</v>
      </c>
      <c r="L418" s="3">
        <f t="shared" si="283"/>
        <v>1396.563852706604</v>
      </c>
      <c r="M418" s="12">
        <f aca="true" t="shared" si="292" ref="M418:M477">0.67-(4-J418)*(0.67-0.658)</f>
        <v>0.7386189292937005</v>
      </c>
      <c r="N418" s="37">
        <f t="shared" si="284"/>
        <v>29423.037991375924</v>
      </c>
      <c r="O418" s="1">
        <f t="shared" si="275"/>
        <v>233940.30695570976</v>
      </c>
      <c r="P418">
        <f t="shared" si="285"/>
        <v>483.67376087163314</v>
      </c>
      <c r="Q418" s="1">
        <f t="shared" si="286"/>
        <v>14231.151441557735</v>
      </c>
      <c r="R418" s="1">
        <f>+Q418*1000/'Material Properties'!AE$35</f>
        <v>12204442.113127608</v>
      </c>
      <c r="S418" s="1">
        <f t="shared" si="287"/>
        <v>586.7520246695965</v>
      </c>
      <c r="T418" s="1">
        <f t="shared" si="288"/>
        <v>162.20141178248923</v>
      </c>
      <c r="U418">
        <f t="shared" si="276"/>
        <v>5.259243256238284E-05</v>
      </c>
      <c r="V418">
        <f>+'Material Properties'!AE$31+'Material Properties'!AE$33</f>
        <v>0.00029034311030761144</v>
      </c>
      <c r="W418">
        <f t="shared" si="260"/>
        <v>0.0003429355428699943</v>
      </c>
      <c r="X418" s="1">
        <f>+'Volcano Summary'!E$12*10^9/Q418/3600/24/365</f>
        <v>0</v>
      </c>
      <c r="Y418" s="3">
        <f t="shared" si="261"/>
        <v>400</v>
      </c>
      <c r="Z418" s="1">
        <f>+Y418*'Volcano Summary'!B$19*'Volcano Summary'!B$20/1000</f>
        <v>16200000</v>
      </c>
      <c r="AA418" s="1">
        <f t="shared" si="277"/>
        <v>1138347.8045699692</v>
      </c>
      <c r="AB418" s="3">
        <f t="shared" si="269"/>
        <v>316.2077234916581</v>
      </c>
      <c r="AC418" s="1">
        <f t="shared" si="262"/>
        <v>28704265.50164739</v>
      </c>
      <c r="AD418" s="36">
        <f t="shared" si="263"/>
        <v>7973.407083790941</v>
      </c>
      <c r="AE418" s="36">
        <f t="shared" si="268"/>
        <v>332.2252951579559</v>
      </c>
      <c r="AG418" s="1">
        <f t="shared" si="278"/>
        <v>16200000000</v>
      </c>
      <c r="AH418" s="1">
        <f t="shared" si="264"/>
        <v>16200000</v>
      </c>
      <c r="AI418" s="1">
        <f t="shared" si="265"/>
        <v>16216200000</v>
      </c>
      <c r="AJ418" s="1">
        <f t="shared" si="266"/>
        <v>307800000000</v>
      </c>
      <c r="AK418" s="1">
        <f t="shared" si="267"/>
        <v>308107800000</v>
      </c>
      <c r="AL418" s="39">
        <f>+AJ418/('Volcano Summary'!C$8)*10^6</f>
        <v>21368.3618562169</v>
      </c>
      <c r="AM418" s="1">
        <f t="shared" si="279"/>
        <v>332.2252951579559</v>
      </c>
    </row>
    <row r="419" spans="1:39" ht="12.75">
      <c r="A419" s="1">
        <f t="shared" si="258"/>
        <v>1138347.8045699692</v>
      </c>
      <c r="B419" s="1">
        <f t="shared" si="259"/>
        <v>345.11515895979636</v>
      </c>
      <c r="C419" s="1">
        <f t="shared" si="271"/>
        <v>21200</v>
      </c>
      <c r="D419" s="1">
        <f t="shared" si="280"/>
        <v>164.2944866646031</v>
      </c>
      <c r="E419" s="38">
        <f t="shared" si="272"/>
        <v>1734584564.0852914</v>
      </c>
      <c r="F419" s="38">
        <f t="shared" si="273"/>
        <v>1115247734.2161152</v>
      </c>
      <c r="G419" s="38">
        <f t="shared" si="274"/>
        <v>495910904.34693915</v>
      </c>
      <c r="H419" s="18">
        <f t="shared" si="281"/>
        <v>0.0030433157566675906</v>
      </c>
      <c r="I419" s="50">
        <f t="shared" si="270"/>
        <v>0.02670431144874179</v>
      </c>
      <c r="J419" s="3">
        <f t="shared" si="282"/>
        <v>9.626965180291462</v>
      </c>
      <c r="K419" s="12">
        <f t="shared" si="291"/>
        <v>0.8805707464904928</v>
      </c>
      <c r="L419" s="3">
        <f t="shared" si="283"/>
        <v>1391.3716465850405</v>
      </c>
      <c r="M419" s="12">
        <f t="shared" si="292"/>
        <v>0.7375235821634977</v>
      </c>
      <c r="N419" s="37">
        <f t="shared" si="284"/>
        <v>29988.865645056238</v>
      </c>
      <c r="O419" s="1">
        <f t="shared" si="275"/>
        <v>235280.43266391754</v>
      </c>
      <c r="P419">
        <f t="shared" si="285"/>
        <v>485.0571437098082</v>
      </c>
      <c r="Q419" s="1">
        <f t="shared" si="286"/>
        <v>14546.313512888173</v>
      </c>
      <c r="R419" s="1">
        <f>+Q419*1000/'Material Properties'!AE$35</f>
        <v>12474720.823293922</v>
      </c>
      <c r="S419" s="1">
        <f t="shared" si="287"/>
        <v>588.4302275138642</v>
      </c>
      <c r="T419" s="1">
        <f t="shared" si="288"/>
        <v>166.1704771059451</v>
      </c>
      <c r="U419">
        <f t="shared" si="276"/>
        <v>5.134300295653348E-05</v>
      </c>
      <c r="V419">
        <f>+'Material Properties'!AE$31+'Material Properties'!AE$33</f>
        <v>0.00029034311030761144</v>
      </c>
      <c r="W419">
        <f t="shared" si="260"/>
        <v>0.0003416861132641449</v>
      </c>
      <c r="X419" s="1">
        <f>+'Volcano Summary'!E$12*10^9/Q419/3600/24/365</f>
        <v>0</v>
      </c>
      <c r="Y419" s="3">
        <f t="shared" si="261"/>
        <v>400</v>
      </c>
      <c r="Z419" s="1">
        <f>+Y419*'Volcano Summary'!B$19*'Volcano Summary'!B$20/1000</f>
        <v>16200000</v>
      </c>
      <c r="AA419" s="1">
        <f t="shared" si="277"/>
        <v>1113684.2324790156</v>
      </c>
      <c r="AB419" s="3">
        <f t="shared" si="269"/>
        <v>309.356731244171</v>
      </c>
      <c r="AC419" s="1">
        <f t="shared" si="262"/>
        <v>29817949.734126408</v>
      </c>
      <c r="AD419" s="36">
        <f t="shared" si="263"/>
        <v>8282.763815035112</v>
      </c>
      <c r="AE419" s="36">
        <f t="shared" si="268"/>
        <v>345.11515895979636</v>
      </c>
      <c r="AG419" s="1">
        <f t="shared" si="278"/>
        <v>16199999999.999998</v>
      </c>
      <c r="AH419" s="1">
        <f t="shared" si="264"/>
        <v>16200000</v>
      </c>
      <c r="AI419" s="1">
        <f t="shared" si="265"/>
        <v>16216199999.999998</v>
      </c>
      <c r="AJ419" s="1">
        <f t="shared" si="266"/>
        <v>324000000000</v>
      </c>
      <c r="AK419" s="1">
        <f t="shared" si="267"/>
        <v>324324000000</v>
      </c>
      <c r="AL419" s="39">
        <f>+AJ419/('Volcano Summary'!C$8)*10^6</f>
        <v>22493.012480228314</v>
      </c>
      <c r="AM419" s="1">
        <f t="shared" si="279"/>
        <v>345.11515895979636</v>
      </c>
    </row>
    <row r="420" spans="1:39" ht="12.75">
      <c r="A420" s="1">
        <f aca="true" t="shared" si="293" ref="A420:A467">+AA419</f>
        <v>1113684.2324790156</v>
      </c>
      <c r="B420" s="1">
        <f aca="true" t="shared" si="294" ref="B420:B467">+AE420</f>
        <v>357.73085336920843</v>
      </c>
      <c r="C420" s="1">
        <f t="shared" si="271"/>
        <v>21600</v>
      </c>
      <c r="D420" s="1">
        <f t="shared" si="280"/>
        <v>165.83719174624105</v>
      </c>
      <c r="E420" s="38">
        <f t="shared" si="272"/>
        <v>1750872100.4224532</v>
      </c>
      <c r="F420" s="38">
        <f t="shared" si="273"/>
        <v>1125719773.6727567</v>
      </c>
      <c r="G420" s="38">
        <f t="shared" si="274"/>
        <v>500567446.9230601</v>
      </c>
      <c r="H420" s="18">
        <f t="shared" si="281"/>
        <v>0.003015005227326115</v>
      </c>
      <c r="I420" s="50">
        <f t="shared" si="270"/>
        <v>0.02666131116255837</v>
      </c>
      <c r="J420" s="3">
        <f t="shared" si="282"/>
        <v>9.538399252248158</v>
      </c>
      <c r="K420" s="12">
        <f t="shared" si="291"/>
        <v>0.8773823730809339</v>
      </c>
      <c r="L420" s="3">
        <f t="shared" si="283"/>
        <v>1386.3337636228066</v>
      </c>
      <c r="M420" s="12">
        <f t="shared" si="292"/>
        <v>0.736460791026978</v>
      </c>
      <c r="N420" s="37">
        <f t="shared" si="284"/>
        <v>30554.69329873654</v>
      </c>
      <c r="O420" s="1">
        <f t="shared" si="275"/>
        <v>236605.2438743065</v>
      </c>
      <c r="P420">
        <f t="shared" si="285"/>
        <v>486.42085057520563</v>
      </c>
      <c r="Q420" s="1">
        <f t="shared" si="286"/>
        <v>14862.439903435965</v>
      </c>
      <c r="R420" s="1">
        <f>+Q420*1000/'Material Properties'!AE$35</f>
        <v>12745826.52051853</v>
      </c>
      <c r="S420" s="1">
        <f t="shared" si="287"/>
        <v>590.0845611351172</v>
      </c>
      <c r="T420" s="1">
        <f t="shared" si="288"/>
        <v>169.98895621320594</v>
      </c>
      <c r="U420">
        <f t="shared" si="276"/>
        <v>5.019575395672712E-05</v>
      </c>
      <c r="V420">
        <f>+'Material Properties'!AE$31+'Material Properties'!AE$33</f>
        <v>0.00029034311030761144</v>
      </c>
      <c r="W420">
        <f aca="true" t="shared" si="295" ref="W420:W467">+V420+U420</f>
        <v>0.0003405388642643386</v>
      </c>
      <c r="X420" s="1">
        <f>+'Volcano Summary'!E$12*10^9/Q420/3600/24/365</f>
        <v>0</v>
      </c>
      <c r="Y420" s="3">
        <f aca="true" t="shared" si="296" ref="Y420:Y467">+C421-C420</f>
        <v>400</v>
      </c>
      <c r="Z420" s="1">
        <f>+Y420*'Volcano Summary'!B$19*'Volcano Summary'!B$20/1000</f>
        <v>16200000</v>
      </c>
      <c r="AA420" s="1">
        <f t="shared" si="277"/>
        <v>1089995.996973203</v>
      </c>
      <c r="AB420" s="3">
        <f t="shared" si="269"/>
        <v>302.7766658258897</v>
      </c>
      <c r="AC420" s="1">
        <f aca="true" t="shared" si="297" ref="AC420:AC467">+AC419+AA420</f>
        <v>30907945.73109961</v>
      </c>
      <c r="AD420" s="36">
        <f aca="true" t="shared" si="298" ref="AD420:AD467">+AD419+AB420</f>
        <v>8585.540480861002</v>
      </c>
      <c r="AE420" s="36">
        <f t="shared" si="268"/>
        <v>357.73085336920843</v>
      </c>
      <c r="AG420" s="1">
        <f t="shared" si="278"/>
        <v>16200000000</v>
      </c>
      <c r="AH420" s="1">
        <f aca="true" t="shared" si="299" ref="AH420:AH467">+Z420</f>
        <v>16200000</v>
      </c>
      <c r="AI420" s="1">
        <f aca="true" t="shared" si="300" ref="AI420:AI467">+AH420+AG420</f>
        <v>16216200000</v>
      </c>
      <c r="AJ420" s="1">
        <f aca="true" t="shared" si="301" ref="AJ420:AJ467">+AJ419+AG420</f>
        <v>340200000000</v>
      </c>
      <c r="AK420" s="1">
        <f aca="true" t="shared" si="302" ref="AK420:AK467">+AK419+AI420</f>
        <v>340540200000</v>
      </c>
      <c r="AL420" s="39">
        <f>+AJ420/('Volcano Summary'!C$8)*10^6</f>
        <v>23617.66310423973</v>
      </c>
      <c r="AM420" s="1">
        <f t="shared" si="279"/>
        <v>357.73085336920843</v>
      </c>
    </row>
    <row r="421" spans="1:39" ht="12.75">
      <c r="A421" s="1">
        <f t="shared" si="293"/>
        <v>1089995.996973203</v>
      </c>
      <c r="B421" s="1">
        <f t="shared" si="294"/>
        <v>370.0830262942174</v>
      </c>
      <c r="C421" s="1">
        <f t="shared" si="271"/>
        <v>22000</v>
      </c>
      <c r="D421" s="1">
        <f t="shared" si="280"/>
        <v>167.3656774376801</v>
      </c>
      <c r="E421" s="38">
        <f t="shared" si="272"/>
        <v>1767009511.60782</v>
      </c>
      <c r="F421" s="38">
        <f t="shared" si="273"/>
        <v>1136095290.45829</v>
      </c>
      <c r="G421" s="38">
        <f t="shared" si="274"/>
        <v>505181069.30876017</v>
      </c>
      <c r="H421" s="18">
        <f t="shared" si="281"/>
        <v>0.002987470356257357</v>
      </c>
      <c r="I421" s="50">
        <f t="shared" si="270"/>
        <v>0.0266192343976083</v>
      </c>
      <c r="J421" s="3">
        <f t="shared" si="282"/>
        <v>9.452417366912094</v>
      </c>
      <c r="K421" s="12">
        <f t="shared" si="291"/>
        <v>0.8742870252088356</v>
      </c>
      <c r="L421" s="3">
        <f t="shared" si="283"/>
        <v>1381.4428683906863</v>
      </c>
      <c r="M421" s="12">
        <f t="shared" si="292"/>
        <v>0.7354290084029452</v>
      </c>
      <c r="N421" s="37">
        <f t="shared" si="284"/>
        <v>31120.520952416853</v>
      </c>
      <c r="O421" s="1">
        <f t="shared" si="275"/>
        <v>237915.15186649488</v>
      </c>
      <c r="P421">
        <f t="shared" si="285"/>
        <v>487.7654680955745</v>
      </c>
      <c r="Q421" s="1">
        <f t="shared" si="286"/>
        <v>15179.515469733738</v>
      </c>
      <c r="R421" s="1">
        <f>+Q421*1000/'Material Properties'!AE$35</f>
        <v>13017746.217969574</v>
      </c>
      <c r="S421" s="1">
        <f t="shared" si="287"/>
        <v>591.7157371804352</v>
      </c>
      <c r="T421" s="1">
        <f t="shared" si="288"/>
        <v>173.6652924894322</v>
      </c>
      <c r="U421">
        <f t="shared" si="276"/>
        <v>4.913863390409801E-05</v>
      </c>
      <c r="V421">
        <f>+'Material Properties'!AE$31+'Material Properties'!AE$33</f>
        <v>0.00029034311030761144</v>
      </c>
      <c r="W421">
        <f t="shared" si="295"/>
        <v>0.00033948174421170944</v>
      </c>
      <c r="X421" s="1">
        <f>+'Volcano Summary'!E$12*10^9/Q421/3600/24/365</f>
        <v>0</v>
      </c>
      <c r="Y421" s="3">
        <f t="shared" si="296"/>
        <v>400</v>
      </c>
      <c r="Z421" s="1">
        <f>+Y421*'Volcano Summary'!B$19*'Volcano Summary'!B$20/1000</f>
        <v>16200000</v>
      </c>
      <c r="AA421" s="1">
        <f t="shared" si="277"/>
        <v>1067227.7407207757</v>
      </c>
      <c r="AB421" s="3">
        <f t="shared" si="269"/>
        <v>296.45215020021544</v>
      </c>
      <c r="AC421" s="1">
        <f t="shared" si="297"/>
        <v>31975173.471820384</v>
      </c>
      <c r="AD421" s="36">
        <f t="shared" si="298"/>
        <v>8881.992631061217</v>
      </c>
      <c r="AE421" s="36">
        <f t="shared" si="268"/>
        <v>370.0830262942174</v>
      </c>
      <c r="AG421" s="1">
        <f t="shared" si="278"/>
        <v>16200000000.000002</v>
      </c>
      <c r="AH421" s="1">
        <f t="shared" si="299"/>
        <v>16200000</v>
      </c>
      <c r="AI421" s="1">
        <f t="shared" si="300"/>
        <v>16216200000.000002</v>
      </c>
      <c r="AJ421" s="1">
        <f t="shared" si="301"/>
        <v>356400000000</v>
      </c>
      <c r="AK421" s="1">
        <f t="shared" si="302"/>
        <v>356756400000</v>
      </c>
      <c r="AL421" s="39">
        <f>+AJ421/('Volcano Summary'!C$8)*10^6</f>
        <v>24742.313728251145</v>
      </c>
      <c r="AM421" s="1">
        <f t="shared" si="279"/>
        <v>370.0830262942174</v>
      </c>
    </row>
    <row r="422" spans="1:39" ht="12.75">
      <c r="A422" s="1">
        <f t="shared" si="293"/>
        <v>1067227.7407207757</v>
      </c>
      <c r="B422" s="1">
        <f t="shared" si="294"/>
        <v>382.1817319586938</v>
      </c>
      <c r="C422" s="1">
        <f t="shared" si="271"/>
        <v>22400</v>
      </c>
      <c r="D422" s="1">
        <f t="shared" si="280"/>
        <v>168.88032982579008</v>
      </c>
      <c r="E422" s="38">
        <f t="shared" si="272"/>
        <v>1783000873.8604922</v>
      </c>
      <c r="F422" s="38">
        <f t="shared" si="273"/>
        <v>1146376905.3697696</v>
      </c>
      <c r="G422" s="38">
        <f t="shared" si="274"/>
        <v>509752936.8790473</v>
      </c>
      <c r="H422" s="18">
        <f t="shared" si="281"/>
        <v>0.002960676358909171</v>
      </c>
      <c r="I422" s="50">
        <f t="shared" si="270"/>
        <v>0.026578044856602406</v>
      </c>
      <c r="J422" s="3">
        <f t="shared" si="282"/>
        <v>9.368898907297023</v>
      </c>
      <c r="K422" s="12">
        <f t="shared" si="291"/>
        <v>0.8712803606626931</v>
      </c>
      <c r="L422" s="3">
        <f t="shared" si="283"/>
        <v>1376.692099849978</v>
      </c>
      <c r="M422" s="12">
        <f t="shared" si="292"/>
        <v>0.7344267868875644</v>
      </c>
      <c r="N422" s="37">
        <f t="shared" si="284"/>
        <v>31686.34860609715</v>
      </c>
      <c r="O422" s="1">
        <f t="shared" si="275"/>
        <v>239210.54994355288</v>
      </c>
      <c r="P422">
        <f t="shared" si="285"/>
        <v>489.0915557884361</v>
      </c>
      <c r="Q422" s="1">
        <f t="shared" si="286"/>
        <v>15497.5255370108</v>
      </c>
      <c r="R422" s="1">
        <f>+Q422*1000/'Material Properties'!AE$35</f>
        <v>13290467.330763092</v>
      </c>
      <c r="S422" s="1">
        <f t="shared" si="287"/>
        <v>593.3244344090666</v>
      </c>
      <c r="T422" s="1">
        <f t="shared" si="288"/>
        <v>177.20731057120884</v>
      </c>
      <c r="U422">
        <f t="shared" si="276"/>
        <v>4.816141444441429E-05</v>
      </c>
      <c r="V422">
        <f>+'Material Properties'!AE$31+'Material Properties'!AE$33</f>
        <v>0.00029034311030761144</v>
      </c>
      <c r="W422">
        <f t="shared" si="295"/>
        <v>0.00033850452475202574</v>
      </c>
      <c r="X422" s="1">
        <f>+'Volcano Summary'!E$12*10^9/Q422/3600/24/365</f>
        <v>0</v>
      </c>
      <c r="Y422" s="3">
        <f t="shared" si="296"/>
        <v>400</v>
      </c>
      <c r="Z422" s="1">
        <f>+Y422*'Volcano Summary'!B$19*'Volcano Summary'!B$20/1000</f>
        <v>16200000</v>
      </c>
      <c r="AA422" s="1">
        <f t="shared" si="277"/>
        <v>1045328.1694107596</v>
      </c>
      <c r="AB422" s="3">
        <f t="shared" si="269"/>
        <v>290.3689359474332</v>
      </c>
      <c r="AC422" s="1">
        <f t="shared" si="297"/>
        <v>33020501.641231142</v>
      </c>
      <c r="AD422" s="36">
        <f t="shared" si="298"/>
        <v>9172.361567008651</v>
      </c>
      <c r="AE422" s="36">
        <f aca="true" t="shared" si="303" ref="AE422:AE485">+AD422/24</f>
        <v>382.1817319586938</v>
      </c>
      <c r="AG422" s="1">
        <f t="shared" si="278"/>
        <v>16200000000</v>
      </c>
      <c r="AH422" s="1">
        <f t="shared" si="299"/>
        <v>16200000</v>
      </c>
      <c r="AI422" s="1">
        <f t="shared" si="300"/>
        <v>16216200000</v>
      </c>
      <c r="AJ422" s="1">
        <f t="shared" si="301"/>
        <v>372600000000</v>
      </c>
      <c r="AK422" s="1">
        <f t="shared" si="302"/>
        <v>372972600000</v>
      </c>
      <c r="AL422" s="39">
        <f>+AJ422/('Volcano Summary'!C$8)*10^6</f>
        <v>25866.964352262563</v>
      </c>
      <c r="AM422" s="1">
        <f t="shared" si="279"/>
        <v>382.1817319586938</v>
      </c>
    </row>
    <row r="423" spans="1:39" ht="12.75">
      <c r="A423" s="1">
        <f t="shared" si="293"/>
        <v>1045328.1694107596</v>
      </c>
      <c r="B423" s="1">
        <f t="shared" si="294"/>
        <v>394.0364737198269</v>
      </c>
      <c r="C423" s="1">
        <f t="shared" si="271"/>
        <v>22800</v>
      </c>
      <c r="D423" s="1">
        <f t="shared" si="280"/>
        <v>170.38151783559655</v>
      </c>
      <c r="E423" s="38">
        <f t="shared" si="272"/>
        <v>1798850082.2086456</v>
      </c>
      <c r="F423" s="38">
        <f t="shared" si="273"/>
        <v>1156567122.7079012</v>
      </c>
      <c r="G423" s="38">
        <f t="shared" si="274"/>
        <v>514284163.2071569</v>
      </c>
      <c r="H423" s="18">
        <f t="shared" si="281"/>
        <v>0.0029345905961611213</v>
      </c>
      <c r="I423" s="50">
        <f t="shared" si="270"/>
        <v>0.026537708289809215</v>
      </c>
      <c r="J423" s="3">
        <f t="shared" si="282"/>
        <v>9.287730919094116</v>
      </c>
      <c r="K423" s="12">
        <f t="shared" si="291"/>
        <v>0.8683583130873884</v>
      </c>
      <c r="L423" s="3">
        <f t="shared" si="283"/>
        <v>1372.0750328369581</v>
      </c>
      <c r="M423" s="12">
        <f t="shared" si="292"/>
        <v>0.7334527710291295</v>
      </c>
      <c r="N423" s="37">
        <f t="shared" si="284"/>
        <v>32252.176259777454</v>
      </c>
      <c r="O423" s="1">
        <f t="shared" si="275"/>
        <v>240491.8145190058</v>
      </c>
      <c r="P423">
        <f t="shared" si="285"/>
        <v>490.39964775579296</v>
      </c>
      <c r="Q423" s="1">
        <f t="shared" si="286"/>
        <v>15816.45587715261</v>
      </c>
      <c r="R423" s="1">
        <f>+Q423*1000/'Material Properties'!AE$35</f>
        <v>13563977.657061381</v>
      </c>
      <c r="S423" s="1">
        <f t="shared" si="287"/>
        <v>594.9113007483062</v>
      </c>
      <c r="T423" s="1">
        <f t="shared" si="288"/>
        <v>180.62227189333407</v>
      </c>
      <c r="U423">
        <f t="shared" si="276"/>
        <v>4.7255358312397806E-05</v>
      </c>
      <c r="V423">
        <f>+'Material Properties'!AE$31+'Material Properties'!AE$33</f>
        <v>0.00029034311030761144</v>
      </c>
      <c r="W423">
        <f t="shared" si="295"/>
        <v>0.00033759846862000927</v>
      </c>
      <c r="X423" s="1">
        <f>+'Volcano Summary'!E$12*10^9/Q423/3600/24/365</f>
        <v>0</v>
      </c>
      <c r="Y423" s="3">
        <f t="shared" si="296"/>
        <v>400</v>
      </c>
      <c r="Z423" s="1">
        <f>+Y423*'Volcano Summary'!B$19*'Volcano Summary'!B$20/1000</f>
        <v>16200000</v>
      </c>
      <c r="AA423" s="1">
        <f t="shared" si="277"/>
        <v>1024249.6881618993</v>
      </c>
      <c r="AB423" s="3">
        <f t="shared" si="269"/>
        <v>284.51380226719425</v>
      </c>
      <c r="AC423" s="1">
        <f t="shared" si="297"/>
        <v>34044751.329393044</v>
      </c>
      <c r="AD423" s="36">
        <f t="shared" si="298"/>
        <v>9456.875369275846</v>
      </c>
      <c r="AE423" s="36">
        <f t="shared" si="303"/>
        <v>394.0364737198269</v>
      </c>
      <c r="AG423" s="1">
        <f t="shared" si="278"/>
        <v>16200000000</v>
      </c>
      <c r="AH423" s="1">
        <f t="shared" si="299"/>
        <v>16200000</v>
      </c>
      <c r="AI423" s="1">
        <f t="shared" si="300"/>
        <v>16216200000</v>
      </c>
      <c r="AJ423" s="1">
        <f t="shared" si="301"/>
        <v>388800000000</v>
      </c>
      <c r="AK423" s="1">
        <f t="shared" si="302"/>
        <v>389188800000</v>
      </c>
      <c r="AL423" s="39">
        <f>+AJ423/('Volcano Summary'!C$8)*10^6</f>
        <v>26991.61497627398</v>
      </c>
      <c r="AM423" s="1">
        <f t="shared" si="279"/>
        <v>394.0364737198269</v>
      </c>
    </row>
    <row r="424" spans="1:39" ht="12.75">
      <c r="A424" s="1">
        <f t="shared" si="293"/>
        <v>1024249.6881618993</v>
      </c>
      <c r="B424" s="1">
        <f t="shared" si="294"/>
        <v>405.6562431194521</v>
      </c>
      <c r="C424" s="1">
        <f t="shared" si="271"/>
        <v>23200</v>
      </c>
      <c r="D424" s="1">
        <f t="shared" si="280"/>
        <v>171.86959427966244</v>
      </c>
      <c r="E424" s="38">
        <f t="shared" si="272"/>
        <v>1814560861.5686677</v>
      </c>
      <c r="F424" s="38">
        <f t="shared" si="273"/>
        <v>1166668337.4003503</v>
      </c>
      <c r="G424" s="38">
        <f t="shared" si="274"/>
        <v>518775813.2320332</v>
      </c>
      <c r="H424" s="18">
        <f t="shared" si="281"/>
        <v>0.002909182407136023</v>
      </c>
      <c r="I424" s="50">
        <f t="shared" si="270"/>
        <v>0.026498192345811026</v>
      </c>
      <c r="J424" s="3">
        <f t="shared" si="282"/>
        <v>9.208807499333986</v>
      </c>
      <c r="K424" s="12">
        <f t="shared" si="291"/>
        <v>0.8655170699760237</v>
      </c>
      <c r="L424" s="3">
        <f t="shared" si="283"/>
        <v>1367.5856432882324</v>
      </c>
      <c r="M424" s="12">
        <f t="shared" si="292"/>
        <v>0.7325056899920079</v>
      </c>
      <c r="N424" s="37">
        <f t="shared" si="284"/>
        <v>32818.00391345777</v>
      </c>
      <c r="O424" s="1">
        <f t="shared" si="275"/>
        <v>241759.30612036993</v>
      </c>
      <c r="P424">
        <f t="shared" si="285"/>
        <v>491.6902542458717</v>
      </c>
      <c r="Q424" s="1">
        <f t="shared" si="286"/>
        <v>16136.292688050062</v>
      </c>
      <c r="R424" s="1">
        <f>+Q424*1000/'Material Properties'!AE$35</f>
        <v>13838265.360363202</v>
      </c>
      <c r="S424" s="1">
        <f t="shared" si="287"/>
        <v>596.476955188069</v>
      </c>
      <c r="T424" s="1">
        <f t="shared" si="288"/>
        <v>183.91692436812582</v>
      </c>
      <c r="U424">
        <f t="shared" si="276"/>
        <v>4.6412957197113566E-05</v>
      </c>
      <c r="V424">
        <f>+'Material Properties'!AE$31+'Material Properties'!AE$33</f>
        <v>0.00029034311030761144</v>
      </c>
      <c r="W424">
        <f t="shared" si="295"/>
        <v>0.000336756067504725</v>
      </c>
      <c r="X424" s="1">
        <f>+'Volcano Summary'!E$12*10^9/Q424/3600/24/365</f>
        <v>0</v>
      </c>
      <c r="Y424" s="3">
        <f t="shared" si="296"/>
        <v>400</v>
      </c>
      <c r="Z424" s="1">
        <f>+Y424*'Volcano Summary'!B$19*'Volcano Summary'!B$20/1000</f>
        <v>16200000</v>
      </c>
      <c r="AA424" s="1">
        <f t="shared" si="277"/>
        <v>1003948.0761276174</v>
      </c>
      <c r="AB424" s="3">
        <f t="shared" si="269"/>
        <v>278.8744655910048</v>
      </c>
      <c r="AC424" s="1">
        <f t="shared" si="297"/>
        <v>35048699.40552066</v>
      </c>
      <c r="AD424" s="36">
        <f t="shared" si="298"/>
        <v>9735.74983486685</v>
      </c>
      <c r="AE424" s="36">
        <f t="shared" si="303"/>
        <v>405.6562431194521</v>
      </c>
      <c r="AG424" s="1">
        <f t="shared" si="278"/>
        <v>16200000000</v>
      </c>
      <c r="AH424" s="1">
        <f t="shared" si="299"/>
        <v>16200000</v>
      </c>
      <c r="AI424" s="1">
        <f t="shared" si="300"/>
        <v>16216200000</v>
      </c>
      <c r="AJ424" s="1">
        <f t="shared" si="301"/>
        <v>405000000000</v>
      </c>
      <c r="AK424" s="1">
        <f t="shared" si="302"/>
        <v>405405000000</v>
      </c>
      <c r="AL424" s="39">
        <f>+AJ424/('Volcano Summary'!C$8)*10^6</f>
        <v>28116.26560028539</v>
      </c>
      <c r="AM424" s="1">
        <f t="shared" si="279"/>
        <v>405.6562431194521</v>
      </c>
    </row>
    <row r="425" spans="1:39" ht="12.75">
      <c r="A425" s="1">
        <f t="shared" si="293"/>
        <v>1003948.0761276174</v>
      </c>
      <c r="B425" s="1">
        <f t="shared" si="294"/>
        <v>417.04955555821715</v>
      </c>
      <c r="C425" s="1">
        <f t="shared" si="271"/>
        <v>23600</v>
      </c>
      <c r="D425" s="1">
        <f t="shared" si="280"/>
        <v>173.34489682638437</v>
      </c>
      <c r="E425" s="38">
        <f t="shared" si="272"/>
        <v>1830136776.968213</v>
      </c>
      <c r="F425" s="38">
        <f t="shared" si="273"/>
        <v>1176682841.5746367</v>
      </c>
      <c r="G425" s="38">
        <f t="shared" si="274"/>
        <v>523228906.18106055</v>
      </c>
      <c r="H425" s="18">
        <f t="shared" si="281"/>
        <v>0.0028844229576644584</v>
      </c>
      <c r="I425" s="50">
        <f t="shared" si="270"/>
        <v>0.026459466435510705</v>
      </c>
      <c r="J425" s="3">
        <f t="shared" si="282"/>
        <v>9.132029243413925</v>
      </c>
      <c r="K425" s="12">
        <f t="shared" si="291"/>
        <v>0.8627530527629015</v>
      </c>
      <c r="L425" s="3">
        <f t="shared" si="283"/>
        <v>1363.218276786065</v>
      </c>
      <c r="M425" s="12">
        <f t="shared" si="292"/>
        <v>0.7315843509209672</v>
      </c>
      <c r="N425" s="37">
        <f t="shared" si="284"/>
        <v>33383.831567138084</v>
      </c>
      <c r="O425" s="1">
        <f t="shared" si="275"/>
        <v>243013.3703169489</v>
      </c>
      <c r="P425">
        <f t="shared" si="285"/>
        <v>492.96386309439447</v>
      </c>
      <c r="Q425" s="1">
        <f t="shared" si="286"/>
        <v>16457.022574228984</v>
      </c>
      <c r="R425" s="1">
        <f>+Q425*1000/'Material Properties'!AE$35</f>
        <v>14113318.952891918</v>
      </c>
      <c r="S425" s="1">
        <f t="shared" si="287"/>
        <v>598.0219895293186</v>
      </c>
      <c r="T425" s="1">
        <f t="shared" si="288"/>
        <v>187.09754690670547</v>
      </c>
      <c r="U425">
        <f t="shared" si="276"/>
        <v>4.5627723026922346E-05</v>
      </c>
      <c r="V425">
        <f>+'Material Properties'!AE$31+'Material Properties'!AE$33</f>
        <v>0.00029034311030761144</v>
      </c>
      <c r="W425">
        <f t="shared" si="295"/>
        <v>0.0003359708333345338</v>
      </c>
      <c r="X425" s="1">
        <f>+'Volcano Summary'!E$12*10^9/Q425/3600/24/365</f>
        <v>0</v>
      </c>
      <c r="Y425" s="3">
        <f t="shared" si="296"/>
        <v>400</v>
      </c>
      <c r="Z425" s="1">
        <f>+Y425*'Volcano Summary'!B$19*'Volcano Summary'!B$20/1000</f>
        <v>16200000</v>
      </c>
      <c r="AA425" s="1">
        <f t="shared" si="277"/>
        <v>984382.1947092988</v>
      </c>
      <c r="AB425" s="3">
        <f t="shared" si="269"/>
        <v>273.43949853036077</v>
      </c>
      <c r="AC425" s="1">
        <f t="shared" si="297"/>
        <v>36033081.60022996</v>
      </c>
      <c r="AD425" s="36">
        <f t="shared" si="298"/>
        <v>10009.189333397211</v>
      </c>
      <c r="AE425" s="36">
        <f t="shared" si="303"/>
        <v>417.04955555821715</v>
      </c>
      <c r="AG425" s="1">
        <f t="shared" si="278"/>
        <v>16200000000.000002</v>
      </c>
      <c r="AH425" s="1">
        <f t="shared" si="299"/>
        <v>16200000</v>
      </c>
      <c r="AI425" s="1">
        <f t="shared" si="300"/>
        <v>16216200000.000002</v>
      </c>
      <c r="AJ425" s="1">
        <f t="shared" si="301"/>
        <v>421200000000</v>
      </c>
      <c r="AK425" s="1">
        <f t="shared" si="302"/>
        <v>421621200000</v>
      </c>
      <c r="AL425" s="39">
        <f>+AJ425/('Volcano Summary'!C$8)*10^6</f>
        <v>29240.91622429681</v>
      </c>
      <c r="AM425" s="1">
        <f t="shared" si="279"/>
        <v>417.04955555821715</v>
      </c>
    </row>
    <row r="426" spans="1:39" ht="12.75">
      <c r="A426" s="1">
        <f t="shared" si="293"/>
        <v>984382.1947092988</v>
      </c>
      <c r="B426" s="1">
        <f t="shared" si="294"/>
        <v>428.2244829356251</v>
      </c>
      <c r="C426" s="1">
        <f t="shared" si="271"/>
        <v>24000</v>
      </c>
      <c r="D426" s="1">
        <f t="shared" si="280"/>
        <v>174.80774889473267</v>
      </c>
      <c r="E426" s="38">
        <f t="shared" si="272"/>
        <v>1845581242.9926705</v>
      </c>
      <c r="F426" s="38">
        <f t="shared" si="273"/>
        <v>1186612830.6317208</v>
      </c>
      <c r="G426" s="38">
        <f t="shared" si="274"/>
        <v>527644418.27077144</v>
      </c>
      <c r="H426" s="18">
        <f t="shared" si="281"/>
        <v>0.0028602851026992776</v>
      </c>
      <c r="I426" s="50">
        <f t="shared" si="270"/>
        <v>0.026421501608009133</v>
      </c>
      <c r="J426" s="3">
        <f t="shared" si="282"/>
        <v>9.057302744033354</v>
      </c>
      <c r="K426" s="12">
        <f t="shared" si="291"/>
        <v>0.8600628987852009</v>
      </c>
      <c r="L426" s="3">
        <f t="shared" si="283"/>
        <v>1358.9676200563947</v>
      </c>
      <c r="M426" s="12">
        <f t="shared" si="292"/>
        <v>0.7306876329284003</v>
      </c>
      <c r="N426" s="37">
        <f t="shared" si="284"/>
        <v>33949.65922081839</v>
      </c>
      <c r="O426" s="1">
        <f t="shared" si="275"/>
        <v>244254.33857878612</v>
      </c>
      <c r="P426">
        <f t="shared" si="285"/>
        <v>494.2209410565138</v>
      </c>
      <c r="Q426" s="1">
        <f t="shared" si="286"/>
        <v>16778.632528660815</v>
      </c>
      <c r="R426" s="1">
        <f>+Q426*1000/'Material Properties'!AE$35</f>
        <v>14389127.279996563</v>
      </c>
      <c r="S426" s="1">
        <f t="shared" si="287"/>
        <v>599.5469699998567</v>
      </c>
      <c r="T426" s="1">
        <f t="shared" si="288"/>
        <v>190.16998939546625</v>
      </c>
      <c r="U426">
        <f t="shared" si="276"/>
        <v>4.4894020390852324E-05</v>
      </c>
      <c r="V426">
        <f>+'Material Properties'!AE$31+'Material Properties'!AE$33</f>
        <v>0.00029034311030761144</v>
      </c>
      <c r="W426">
        <f t="shared" si="295"/>
        <v>0.00033523713069846377</v>
      </c>
      <c r="X426" s="1">
        <f>+'Volcano Summary'!E$12*10^9/Q426/3600/24/365</f>
        <v>0</v>
      </c>
      <c r="Y426" s="3">
        <f t="shared" si="296"/>
        <v>400</v>
      </c>
      <c r="Z426" s="1">
        <f>+Y426*'Volcano Summary'!B$19*'Volcano Summary'!B$20/1000</f>
        <v>16200000</v>
      </c>
      <c r="AA426" s="1">
        <f t="shared" si="277"/>
        <v>965513.7254080503</v>
      </c>
      <c r="AB426" s="3">
        <f t="shared" si="269"/>
        <v>268.19825705779175</v>
      </c>
      <c r="AC426" s="1">
        <f t="shared" si="297"/>
        <v>36998595.32563801</v>
      </c>
      <c r="AD426" s="36">
        <f t="shared" si="298"/>
        <v>10277.387590455002</v>
      </c>
      <c r="AE426" s="36">
        <f t="shared" si="303"/>
        <v>428.2244829356251</v>
      </c>
      <c r="AG426" s="1">
        <f t="shared" si="278"/>
        <v>16200000000</v>
      </c>
      <c r="AH426" s="1">
        <f t="shared" si="299"/>
        <v>16200000</v>
      </c>
      <c r="AI426" s="1">
        <f t="shared" si="300"/>
        <v>16216200000</v>
      </c>
      <c r="AJ426" s="1">
        <f t="shared" si="301"/>
        <v>437400000000</v>
      </c>
      <c r="AK426" s="1">
        <f t="shared" si="302"/>
        <v>437837400000</v>
      </c>
      <c r="AL426" s="39">
        <f>+AJ426/('Volcano Summary'!C$8)*10^6</f>
        <v>30365.566848308226</v>
      </c>
      <c r="AM426" s="1">
        <f t="shared" si="279"/>
        <v>428.2244829356251</v>
      </c>
    </row>
    <row r="427" spans="1:39" ht="12.75">
      <c r="A427" s="1">
        <f t="shared" si="293"/>
        <v>965513.7254080503</v>
      </c>
      <c r="B427" s="1">
        <f t="shared" si="294"/>
        <v>439.1886835591327</v>
      </c>
      <c r="C427" s="1">
        <f t="shared" si="271"/>
        <v>24400</v>
      </c>
      <c r="D427" s="1">
        <f t="shared" si="280"/>
        <v>176.25846048215095</v>
      </c>
      <c r="E427" s="38">
        <f t="shared" si="272"/>
        <v>1860897532.525943</v>
      </c>
      <c r="F427" s="38">
        <f t="shared" si="273"/>
        <v>1196460408.865872</v>
      </c>
      <c r="G427" s="38">
        <f t="shared" si="274"/>
        <v>532023285.2058004</v>
      </c>
      <c r="H427" s="18">
        <f t="shared" si="281"/>
        <v>0.0028367432611873583</v>
      </c>
      <c r="I427" s="50">
        <f t="shared" si="270"/>
        <v>0.026384270437137744</v>
      </c>
      <c r="J427" s="3">
        <f t="shared" si="282"/>
        <v>8.984540136389533</v>
      </c>
      <c r="K427" s="12">
        <f t="shared" si="291"/>
        <v>0.8574434449100234</v>
      </c>
      <c r="L427" s="3">
        <f t="shared" si="283"/>
        <v>1354.8286750982697</v>
      </c>
      <c r="M427" s="12">
        <f t="shared" si="292"/>
        <v>0.7298144816366745</v>
      </c>
      <c r="N427" s="37">
        <f t="shared" si="284"/>
        <v>34515.48687449869</v>
      </c>
      <c r="O427" s="1">
        <f t="shared" si="275"/>
        <v>245482.52907293738</v>
      </c>
      <c r="P427">
        <f t="shared" si="285"/>
        <v>495.4619350393503</v>
      </c>
      <c r="Q427" s="1">
        <f t="shared" si="286"/>
        <v>17101.109915664416</v>
      </c>
      <c r="R427" s="1">
        <f>+Q427*1000/'Material Properties'!AE$35</f>
        <v>14665679.505488677</v>
      </c>
      <c r="S427" s="1">
        <f t="shared" si="287"/>
        <v>601.0524387495359</v>
      </c>
      <c r="T427" s="1">
        <f t="shared" si="288"/>
        <v>193.13970865912643</v>
      </c>
      <c r="U427">
        <f t="shared" si="276"/>
        <v>4.420693093839351E-05</v>
      </c>
      <c r="V427">
        <f>+'Material Properties'!AE$31+'Material Properties'!AE$33</f>
        <v>0.00029034311030761144</v>
      </c>
      <c r="W427">
        <f t="shared" si="295"/>
        <v>0.00033455004124600496</v>
      </c>
      <c r="X427" s="1">
        <f>+'Volcano Summary'!E$12*10^9/Q427/3600/24/365</f>
        <v>0</v>
      </c>
      <c r="Y427" s="3">
        <f t="shared" si="296"/>
        <v>400</v>
      </c>
      <c r="Z427" s="1">
        <f>+Y427*'Volcano Summary'!B$19*'Volcano Summary'!B$20/1000</f>
        <v>16200000</v>
      </c>
      <c r="AA427" s="1">
        <f t="shared" si="277"/>
        <v>947306.9338710577</v>
      </c>
      <c r="AB427" s="3">
        <f t="shared" si="269"/>
        <v>263.1408149641827</v>
      </c>
      <c r="AC427" s="1">
        <f t="shared" si="297"/>
        <v>37945902.25950907</v>
      </c>
      <c r="AD427" s="36">
        <f t="shared" si="298"/>
        <v>10540.528405419185</v>
      </c>
      <c r="AE427" s="36">
        <f t="shared" si="303"/>
        <v>439.1886835591327</v>
      </c>
      <c r="AG427" s="1">
        <f t="shared" si="278"/>
        <v>16200000000</v>
      </c>
      <c r="AH427" s="1">
        <f t="shared" si="299"/>
        <v>16200000</v>
      </c>
      <c r="AI427" s="1">
        <f t="shared" si="300"/>
        <v>16216200000</v>
      </c>
      <c r="AJ427" s="1">
        <f t="shared" si="301"/>
        <v>453600000000</v>
      </c>
      <c r="AK427" s="1">
        <f t="shared" si="302"/>
        <v>454053600000</v>
      </c>
      <c r="AL427" s="39">
        <f>+AJ427/('Volcano Summary'!C$8)*10^6</f>
        <v>31490.217472319644</v>
      </c>
      <c r="AM427" s="1">
        <f t="shared" si="279"/>
        <v>439.1886835591327</v>
      </c>
    </row>
    <row r="428" spans="1:39" ht="12.75">
      <c r="A428" s="1">
        <f t="shared" si="293"/>
        <v>947306.9338710577</v>
      </c>
      <c r="B428" s="1">
        <f t="shared" si="294"/>
        <v>449.94942959081783</v>
      </c>
      <c r="C428" s="1">
        <f t="shared" si="271"/>
        <v>24800</v>
      </c>
      <c r="D428" s="1">
        <f t="shared" si="280"/>
        <v>177.6973289316191</v>
      </c>
      <c r="E428" s="38">
        <f t="shared" si="272"/>
        <v>1876088784.8489249</v>
      </c>
      <c r="F428" s="38">
        <f t="shared" si="273"/>
        <v>1206227594.671566</v>
      </c>
      <c r="G428" s="38">
        <f t="shared" si="274"/>
        <v>536366404.4942077</v>
      </c>
      <c r="H428" s="18">
        <f t="shared" si="281"/>
        <v>0.002813773302087216</v>
      </c>
      <c r="I428" s="50">
        <f t="shared" si="270"/>
        <v>0.026347746917572665</v>
      </c>
      <c r="J428" s="3">
        <f t="shared" si="282"/>
        <v>8.913658684681671</v>
      </c>
      <c r="K428" s="12">
        <f t="shared" si="291"/>
        <v>0.8548917126485404</v>
      </c>
      <c r="L428" s="3">
        <f t="shared" si="283"/>
        <v>1350.7967356630181</v>
      </c>
      <c r="M428" s="12">
        <f t="shared" si="292"/>
        <v>0.7289639042161802</v>
      </c>
      <c r="N428" s="37">
        <f t="shared" si="284"/>
        <v>35081.31452817899</v>
      </c>
      <c r="O428" s="1">
        <f t="shared" si="275"/>
        <v>246698.24740258214</v>
      </c>
      <c r="P428">
        <f t="shared" si="285"/>
        <v>496.6872732440224</v>
      </c>
      <c r="Q428" s="1">
        <f t="shared" si="286"/>
        <v>17424.44245481713</v>
      </c>
      <c r="R428" s="1">
        <f>+Q428*1000/'Material Properties'!AE$35</f>
        <v>14942965.09784465</v>
      </c>
      <c r="S428" s="1">
        <f t="shared" si="287"/>
        <v>602.5389152356713</v>
      </c>
      <c r="T428" s="1">
        <f t="shared" si="288"/>
        <v>196.01180087200282</v>
      </c>
      <c r="U428">
        <f t="shared" si="276"/>
        <v>4.3562142857937855E-05</v>
      </c>
      <c r="V428">
        <f>+'Material Properties'!AE$31+'Material Properties'!AE$33</f>
        <v>0.00029034311030761144</v>
      </c>
      <c r="W428">
        <f t="shared" si="295"/>
        <v>0.0003339052531655493</v>
      </c>
      <c r="X428" s="1">
        <f>+'Volcano Summary'!E$12*10^9/Q428/3600/24/365</f>
        <v>0</v>
      </c>
      <c r="Y428" s="3">
        <f t="shared" si="296"/>
        <v>400</v>
      </c>
      <c r="Z428" s="1">
        <f>+Y428*'Volcano Summary'!B$19*'Volcano Summary'!B$20/1000</f>
        <v>16200000</v>
      </c>
      <c r="AA428" s="1">
        <f t="shared" si="277"/>
        <v>929728.4571375985</v>
      </c>
      <c r="AB428" s="3">
        <f t="shared" si="269"/>
        <v>258.25790476044403</v>
      </c>
      <c r="AC428" s="1">
        <f t="shared" si="297"/>
        <v>38875630.71664667</v>
      </c>
      <c r="AD428" s="36">
        <f t="shared" si="298"/>
        <v>10798.786310179628</v>
      </c>
      <c r="AE428" s="36">
        <f t="shared" si="303"/>
        <v>449.94942959081783</v>
      </c>
      <c r="AG428" s="1">
        <f t="shared" si="278"/>
        <v>16200000000</v>
      </c>
      <c r="AH428" s="1">
        <f t="shared" si="299"/>
        <v>16200000</v>
      </c>
      <c r="AI428" s="1">
        <f t="shared" si="300"/>
        <v>16216200000</v>
      </c>
      <c r="AJ428" s="1">
        <f t="shared" si="301"/>
        <v>469800000000</v>
      </c>
      <c r="AK428" s="1">
        <f t="shared" si="302"/>
        <v>470269800000</v>
      </c>
      <c r="AL428" s="39">
        <f>+AJ428/('Volcano Summary'!C$8)*10^6</f>
        <v>32614.868096331058</v>
      </c>
      <c r="AM428" s="1">
        <f t="shared" si="279"/>
        <v>449.94942959081783</v>
      </c>
    </row>
    <row r="429" spans="1:39" ht="12.75">
      <c r="A429" s="1">
        <f t="shared" si="293"/>
        <v>929728.4571375985</v>
      </c>
      <c r="B429" s="1">
        <f t="shared" si="294"/>
        <v>460.51363226991543</v>
      </c>
      <c r="C429" s="1">
        <f t="shared" si="271"/>
        <v>25200</v>
      </c>
      <c r="D429" s="1">
        <f t="shared" si="280"/>
        <v>179.1246396432554</v>
      </c>
      <c r="E429" s="38">
        <f t="shared" si="272"/>
        <v>1891158013.152441</v>
      </c>
      <c r="F429" s="38">
        <f t="shared" si="273"/>
        <v>1215916325.37392</v>
      </c>
      <c r="G429" s="38">
        <f t="shared" si="274"/>
        <v>540674637.5953987</v>
      </c>
      <c r="H429" s="18">
        <f t="shared" si="281"/>
        <v>0.002791352440377828</v>
      </c>
      <c r="I429" s="50">
        <f t="shared" si="270"/>
        <v>0.026311906369580713</v>
      </c>
      <c r="J429" s="3">
        <f t="shared" si="282"/>
        <v>8.844580405572204</v>
      </c>
      <c r="K429" s="12">
        <f t="shared" si="291"/>
        <v>0.8524048946005995</v>
      </c>
      <c r="L429" s="3">
        <f t="shared" si="283"/>
        <v>1346.8673658356522</v>
      </c>
      <c r="M429" s="12">
        <f t="shared" si="292"/>
        <v>0.7281349648668666</v>
      </c>
      <c r="N429" s="37">
        <f t="shared" si="284"/>
        <v>35647.1421818593</v>
      </c>
      <c r="O429" s="1">
        <f t="shared" si="275"/>
        <v>247901.78729392847</v>
      </c>
      <c r="P429">
        <f t="shared" si="285"/>
        <v>497.89736622513726</v>
      </c>
      <c r="Q429" s="1">
        <f t="shared" si="286"/>
        <v>17748.61820580074</v>
      </c>
      <c r="R429" s="1">
        <f>+Q429*1000/'Material Properties'!AE$35</f>
        <v>15220973.817209808</v>
      </c>
      <c r="S429" s="1">
        <f t="shared" si="287"/>
        <v>604.0068975083257</v>
      </c>
      <c r="T429" s="1">
        <f t="shared" si="288"/>
        <v>198.791030819526</v>
      </c>
      <c r="U429">
        <f t="shared" si="276"/>
        <v>4.295586018458894E-05</v>
      </c>
      <c r="V429">
        <f>+'Material Properties'!AE$31+'Material Properties'!AE$33</f>
        <v>0.00029034311030761144</v>
      </c>
      <c r="W429">
        <f t="shared" si="295"/>
        <v>0.0003332989704922004</v>
      </c>
      <c r="X429" s="1">
        <f>+'Volcano Summary'!E$12*10^9/Q429/3600/24/365</f>
        <v>0</v>
      </c>
      <c r="Y429" s="3">
        <f t="shared" si="296"/>
        <v>400</v>
      </c>
      <c r="Z429" s="1">
        <f>+Y429*'Volcano Summary'!B$19*'Volcano Summary'!B$20/1000</f>
        <v>16200000</v>
      </c>
      <c r="AA429" s="1">
        <f t="shared" si="277"/>
        <v>912747.1114740297</v>
      </c>
      <c r="AB429" s="3">
        <f t="shared" si="269"/>
        <v>253.5408642983416</v>
      </c>
      <c r="AC429" s="1">
        <f t="shared" si="297"/>
        <v>39788377.8281207</v>
      </c>
      <c r="AD429" s="36">
        <f t="shared" si="298"/>
        <v>11052.32717447797</v>
      </c>
      <c r="AE429" s="36">
        <f t="shared" si="303"/>
        <v>460.51363226991543</v>
      </c>
      <c r="AG429" s="1">
        <f t="shared" si="278"/>
        <v>16200000000.000002</v>
      </c>
      <c r="AH429" s="1">
        <f t="shared" si="299"/>
        <v>16200000</v>
      </c>
      <c r="AI429" s="1">
        <f t="shared" si="300"/>
        <v>16216200000.000002</v>
      </c>
      <c r="AJ429" s="1">
        <f t="shared" si="301"/>
        <v>486000000000</v>
      </c>
      <c r="AK429" s="1">
        <f t="shared" si="302"/>
        <v>486486000000</v>
      </c>
      <c r="AL429" s="39">
        <f>+AJ429/('Volcano Summary'!C$8)*10^6</f>
        <v>33739.51872034247</v>
      </c>
      <c r="AM429" s="1">
        <f t="shared" si="279"/>
        <v>460.51363226991543</v>
      </c>
    </row>
    <row r="430" spans="1:39" ht="12.75">
      <c r="A430" s="1">
        <f t="shared" si="293"/>
        <v>912747.1114740297</v>
      </c>
      <c r="B430" s="1">
        <f t="shared" si="294"/>
        <v>470.8878651231194</v>
      </c>
      <c r="C430" s="1">
        <f t="shared" si="271"/>
        <v>25600</v>
      </c>
      <c r="D430" s="1">
        <f t="shared" si="280"/>
        <v>180.540666735282</v>
      </c>
      <c r="E430" s="38">
        <f t="shared" si="272"/>
        <v>1906108111.5155723</v>
      </c>
      <c r="F430" s="38">
        <f t="shared" si="273"/>
        <v>1225528461.715386</v>
      </c>
      <c r="G430" s="38">
        <f t="shared" si="274"/>
        <v>544948811.9151994</v>
      </c>
      <c r="H430" s="18">
        <f t="shared" si="281"/>
        <v>0.0027694591420398687</v>
      </c>
      <c r="I430" s="50">
        <f t="shared" si="270"/>
        <v>0.026276725351555057</v>
      </c>
      <c r="J430" s="3">
        <f t="shared" si="282"/>
        <v>8.777231724773493</v>
      </c>
      <c r="K430" s="12">
        <f t="shared" si="291"/>
        <v>0.8499803420918459</v>
      </c>
      <c r="L430" s="3">
        <f t="shared" si="283"/>
        <v>1343.0363805005372</v>
      </c>
      <c r="M430" s="12">
        <f t="shared" si="292"/>
        <v>0.727326780697282</v>
      </c>
      <c r="N430" s="37">
        <f t="shared" si="284"/>
        <v>36212.969835539596</v>
      </c>
      <c r="O430" s="1">
        <f t="shared" si="275"/>
        <v>249093.43123536292</v>
      </c>
      <c r="P430">
        <f t="shared" si="285"/>
        <v>499.0926078748942</v>
      </c>
      <c r="Q430" s="1">
        <f t="shared" si="286"/>
        <v>18073.625554114333</v>
      </c>
      <c r="R430" s="1">
        <f>+Q430*1000/'Material Properties'!AE$35</f>
        <v>15499695.70314599</v>
      </c>
      <c r="S430" s="1">
        <f t="shared" si="287"/>
        <v>605.4568634041402</v>
      </c>
      <c r="T430" s="1">
        <f t="shared" si="288"/>
        <v>201.481858360896</v>
      </c>
      <c r="U430">
        <f t="shared" si="276"/>
        <v>4.238472790729849E-05</v>
      </c>
      <c r="V430">
        <f>+'Material Properties'!AE$31+'Material Properties'!AE$33</f>
        <v>0.00029034311030761144</v>
      </c>
      <c r="W430">
        <f t="shared" si="295"/>
        <v>0.0003327278382149099</v>
      </c>
      <c r="X430" s="1">
        <f>+'Volcano Summary'!E$12*10^9/Q430/3600/24/365</f>
        <v>0</v>
      </c>
      <c r="Y430" s="3">
        <f t="shared" si="296"/>
        <v>400</v>
      </c>
      <c r="Z430" s="1">
        <f>+Y430*'Volcano Summary'!B$19*'Volcano Summary'!B$20/1000</f>
        <v>16200000</v>
      </c>
      <c r="AA430" s="1">
        <f t="shared" si="277"/>
        <v>896333.7185168243</v>
      </c>
      <c r="AB430" s="3">
        <f t="shared" si="269"/>
        <v>248.98158847689564</v>
      </c>
      <c r="AC430" s="1">
        <f t="shared" si="297"/>
        <v>40684711.54663753</v>
      </c>
      <c r="AD430" s="36">
        <f t="shared" si="298"/>
        <v>11301.308762954866</v>
      </c>
      <c r="AE430" s="36">
        <f t="shared" si="303"/>
        <v>470.8878651231194</v>
      </c>
      <c r="AG430" s="1">
        <f t="shared" si="278"/>
        <v>16199999999.999998</v>
      </c>
      <c r="AH430" s="1">
        <f t="shared" si="299"/>
        <v>16200000</v>
      </c>
      <c r="AI430" s="1">
        <f t="shared" si="300"/>
        <v>16216199999.999998</v>
      </c>
      <c r="AJ430" s="1">
        <f t="shared" si="301"/>
        <v>502200000000</v>
      </c>
      <c r="AK430" s="1">
        <f t="shared" si="302"/>
        <v>502702200000</v>
      </c>
      <c r="AL430" s="39">
        <f>+AJ430/('Volcano Summary'!C$8)*10^6</f>
        <v>34864.16934435388</v>
      </c>
      <c r="AM430" s="1">
        <f t="shared" si="279"/>
        <v>470.8878651231194</v>
      </c>
    </row>
    <row r="431" spans="1:39" ht="12.75">
      <c r="A431" s="1">
        <f t="shared" si="293"/>
        <v>896333.7185168243</v>
      </c>
      <c r="B431" s="1">
        <f t="shared" si="294"/>
        <v>481.0783853514345</v>
      </c>
      <c r="C431" s="1">
        <f t="shared" si="271"/>
        <v>26000</v>
      </c>
      <c r="D431" s="1">
        <f t="shared" si="280"/>
        <v>181.9456736586892</v>
      </c>
      <c r="E431" s="38">
        <f t="shared" si="272"/>
        <v>1920941861.395142</v>
      </c>
      <c r="F431" s="38">
        <f t="shared" si="273"/>
        <v>1235065792.028159</v>
      </c>
      <c r="G431" s="38">
        <f t="shared" si="274"/>
        <v>549189722.6611757</v>
      </c>
      <c r="H431" s="18">
        <f t="shared" si="281"/>
        <v>0.002748073037108577</v>
      </c>
      <c r="I431" s="50">
        <f t="shared" si="270"/>
        <v>0.026242181579592367</v>
      </c>
      <c r="J431" s="3">
        <f t="shared" si="282"/>
        <v>8.711543163378515</v>
      </c>
      <c r="K431" s="12">
        <f t="shared" si="291"/>
        <v>0.8476155538816268</v>
      </c>
      <c r="L431" s="3">
        <f t="shared" si="283"/>
        <v>1339.2998274989857</v>
      </c>
      <c r="M431" s="12">
        <f t="shared" si="292"/>
        <v>0.7265385179605423</v>
      </c>
      <c r="N431" s="37">
        <f t="shared" si="284"/>
        <v>36778.797489219905</v>
      </c>
      <c r="O431" s="1">
        <f t="shared" si="275"/>
        <v>250273.45107285518</v>
      </c>
      <c r="P431">
        <f t="shared" si="285"/>
        <v>500.2733763382329</v>
      </c>
      <c r="Q431" s="1">
        <f t="shared" si="286"/>
        <v>18399.453197592164</v>
      </c>
      <c r="R431" s="1">
        <f>+Q431*1000/'Material Properties'!AE$35</f>
        <v>15779121.06306941</v>
      </c>
      <c r="S431" s="1">
        <f t="shared" si="287"/>
        <v>606.8892716565158</v>
      </c>
      <c r="T431" s="1">
        <f t="shared" si="288"/>
        <v>204.08846239986565</v>
      </c>
      <c r="U431">
        <f t="shared" si="276"/>
        <v>4.184576975492071E-05</v>
      </c>
      <c r="V431">
        <f>+'Material Properties'!AE$31+'Material Properties'!AE$33</f>
        <v>0.00029034311030761144</v>
      </c>
      <c r="W431">
        <f t="shared" si="295"/>
        <v>0.00033218888006253215</v>
      </c>
      <c r="X431" s="1">
        <f>+'Volcano Summary'!E$12*10^9/Q431/3600/24/365</f>
        <v>0</v>
      </c>
      <c r="Y431" s="3">
        <f t="shared" si="296"/>
        <v>400</v>
      </c>
      <c r="Z431" s="1">
        <f>+Y431*'Volcano Summary'!B$19*'Volcano Summary'!B$20/1000</f>
        <v>16200000</v>
      </c>
      <c r="AA431" s="1">
        <f t="shared" si="277"/>
        <v>880460.9477264252</v>
      </c>
      <c r="AB431" s="3">
        <f t="shared" si="269"/>
        <v>244.57248547956257</v>
      </c>
      <c r="AC431" s="1">
        <f t="shared" si="297"/>
        <v>41565172.494363956</v>
      </c>
      <c r="AD431" s="36">
        <f t="shared" si="298"/>
        <v>11545.881248434429</v>
      </c>
      <c r="AE431" s="36">
        <f t="shared" si="303"/>
        <v>481.0783853514345</v>
      </c>
      <c r="AG431" s="1">
        <f t="shared" si="278"/>
        <v>16200000000.000002</v>
      </c>
      <c r="AH431" s="1">
        <f t="shared" si="299"/>
        <v>16200000</v>
      </c>
      <c r="AI431" s="1">
        <f t="shared" si="300"/>
        <v>16216200000.000002</v>
      </c>
      <c r="AJ431" s="1">
        <f t="shared" si="301"/>
        <v>518400000000</v>
      </c>
      <c r="AK431" s="1">
        <f t="shared" si="302"/>
        <v>518918400000</v>
      </c>
      <c r="AL431" s="39">
        <f>+AJ431/('Volcano Summary'!C$8)*10^6</f>
        <v>35988.8199683653</v>
      </c>
      <c r="AM431" s="1">
        <f t="shared" si="279"/>
        <v>481.0783853514345</v>
      </c>
    </row>
    <row r="432" spans="1:39" ht="12.75">
      <c r="A432" s="1">
        <f t="shared" si="293"/>
        <v>880460.9477264252</v>
      </c>
      <c r="B432" s="1">
        <f t="shared" si="294"/>
        <v>491.09115356207525</v>
      </c>
      <c r="C432" s="1">
        <f t="shared" si="271"/>
        <v>26400</v>
      </c>
      <c r="D432" s="1">
        <f t="shared" si="280"/>
        <v>183.33991376950163</v>
      </c>
      <c r="E432" s="38">
        <f t="shared" si="272"/>
        <v>1935661937.6675794</v>
      </c>
      <c r="F432" s="38">
        <f t="shared" si="273"/>
        <v>1244530036.1187782</v>
      </c>
      <c r="G432" s="38">
        <f t="shared" si="274"/>
        <v>553398134.5699774</v>
      </c>
      <c r="H432" s="18">
        <f t="shared" si="281"/>
        <v>0.002727174840000249</v>
      </c>
      <c r="I432" s="50">
        <f t="shared" si="270"/>
        <v>0.026208253853445468</v>
      </c>
      <c r="J432" s="3">
        <f t="shared" si="282"/>
        <v>8.647449050945603</v>
      </c>
      <c r="K432" s="12">
        <f t="shared" si="291"/>
        <v>0.8453081658340419</v>
      </c>
      <c r="L432" s="3">
        <f t="shared" si="283"/>
        <v>1335.6539713086977</v>
      </c>
      <c r="M432" s="12">
        <f t="shared" si="292"/>
        <v>0.7257693886113473</v>
      </c>
      <c r="N432" s="37">
        <f t="shared" si="284"/>
        <v>37344.62514290022</v>
      </c>
      <c r="O432" s="1">
        <f t="shared" si="275"/>
        <v>251442.10856523496</v>
      </c>
      <c r="P432">
        <f t="shared" si="285"/>
        <v>501.4400348648231</v>
      </c>
      <c r="Q432" s="1">
        <f t="shared" si="286"/>
        <v>18726.090133669637</v>
      </c>
      <c r="R432" s="1">
        <f>+Q432*1000/'Material Properties'!AE$35</f>
        <v>16059240.461330168</v>
      </c>
      <c r="S432" s="1">
        <f t="shared" si="287"/>
        <v>608.304562929173</v>
      </c>
      <c r="T432" s="1">
        <f t="shared" si="288"/>
        <v>206.61476263278837</v>
      </c>
      <c r="U432">
        <f t="shared" si="276"/>
        <v>4.133633622577099E-05</v>
      </c>
      <c r="V432">
        <f>+'Material Properties'!AE$31+'Material Properties'!AE$33</f>
        <v>0.00029034311030761144</v>
      </c>
      <c r="W432">
        <f t="shared" si="295"/>
        <v>0.0003316794465333824</v>
      </c>
      <c r="X432" s="1">
        <f>+'Volcano Summary'!E$12*10^9/Q432/3600/24/365</f>
        <v>0</v>
      </c>
      <c r="Y432" s="3">
        <f t="shared" si="296"/>
        <v>400</v>
      </c>
      <c r="Z432" s="1">
        <f>+Y432*'Volcano Summary'!B$19*'Volcano Summary'!B$20/1000</f>
        <v>16200000</v>
      </c>
      <c r="AA432" s="1">
        <f t="shared" si="277"/>
        <v>865103.1733993575</v>
      </c>
      <c r="AB432" s="3">
        <f t="shared" si="269"/>
        <v>240.30643705537707</v>
      </c>
      <c r="AC432" s="1">
        <f t="shared" si="297"/>
        <v>42430275.667763315</v>
      </c>
      <c r="AD432" s="36">
        <f t="shared" si="298"/>
        <v>11786.187685489806</v>
      </c>
      <c r="AE432" s="36">
        <f t="shared" si="303"/>
        <v>491.09115356207525</v>
      </c>
      <c r="AG432" s="1">
        <f t="shared" si="278"/>
        <v>16200000000.000002</v>
      </c>
      <c r="AH432" s="1">
        <f t="shared" si="299"/>
        <v>16200000</v>
      </c>
      <c r="AI432" s="1">
        <f t="shared" si="300"/>
        <v>16216200000.000002</v>
      </c>
      <c r="AJ432" s="1">
        <f t="shared" si="301"/>
        <v>534600000000</v>
      </c>
      <c r="AK432" s="1">
        <f t="shared" si="302"/>
        <v>535134600000</v>
      </c>
      <c r="AL432" s="39">
        <f>+AJ432/('Volcano Summary'!C$8)*10^6</f>
        <v>37113.47059237672</v>
      </c>
      <c r="AM432" s="1">
        <f t="shared" si="279"/>
        <v>491.09115356207525</v>
      </c>
    </row>
    <row r="433" spans="1:39" ht="12.75">
      <c r="A433" s="1">
        <f t="shared" si="293"/>
        <v>865103.1733993575</v>
      </c>
      <c r="B433" s="1">
        <f t="shared" si="294"/>
        <v>500.93185199607456</v>
      </c>
      <c r="C433" s="1">
        <f t="shared" si="271"/>
        <v>26800</v>
      </c>
      <c r="D433" s="1">
        <f t="shared" si="280"/>
        <v>184.7236308621676</v>
      </c>
      <c r="E433" s="38">
        <f t="shared" si="272"/>
        <v>1950270914.2603188</v>
      </c>
      <c r="F433" s="38">
        <f t="shared" si="273"/>
        <v>1253922848.8888266</v>
      </c>
      <c r="G433" s="38">
        <f t="shared" si="274"/>
        <v>557574783.5173346</v>
      </c>
      <c r="H433" s="18">
        <f t="shared" si="281"/>
        <v>0.0027067462764040046</v>
      </c>
      <c r="I433" s="50">
        <f t="shared" si="270"/>
        <v>0.026174921988257657</v>
      </c>
      <c r="J433" s="3">
        <f t="shared" si="282"/>
        <v>8.584887262688172</v>
      </c>
      <c r="K433" s="12">
        <f t="shared" si="291"/>
        <v>0.8430559414567744</v>
      </c>
      <c r="L433" s="3">
        <f t="shared" si="283"/>
        <v>1332.0952780943628</v>
      </c>
      <c r="M433" s="12">
        <f t="shared" si="292"/>
        <v>0.7250186471522582</v>
      </c>
      <c r="N433" s="37">
        <f t="shared" si="284"/>
        <v>37910.452796580525</v>
      </c>
      <c r="O433" s="1">
        <f t="shared" si="275"/>
        <v>252599.65590260693</v>
      </c>
      <c r="P433">
        <f t="shared" si="285"/>
        <v>502.5929326031226</v>
      </c>
      <c r="Q433" s="1">
        <f t="shared" si="286"/>
        <v>19053.525647345657</v>
      </c>
      <c r="R433" s="1">
        <f>+Q433*1000/'Material Properties'!AE$35</f>
        <v>16340044.708888914</v>
      </c>
      <c r="S433" s="1">
        <f t="shared" si="287"/>
        <v>609.7031607794371</v>
      </c>
      <c r="T433" s="1">
        <f t="shared" si="288"/>
        <v>209.06443931039598</v>
      </c>
      <c r="U433">
        <f t="shared" si="276"/>
        <v>4.0854060945620714E-05</v>
      </c>
      <c r="V433">
        <f>+'Material Properties'!AE$31+'Material Properties'!AE$33</f>
        <v>0.00029034311030761144</v>
      </c>
      <c r="W433">
        <f t="shared" si="295"/>
        <v>0.00033119717125323217</v>
      </c>
      <c r="X433" s="1">
        <f>+'Volcano Summary'!E$12*10^9/Q433/3600/24/365</f>
        <v>0</v>
      </c>
      <c r="Y433" s="3">
        <f t="shared" si="296"/>
        <v>400</v>
      </c>
      <c r="Z433" s="1">
        <f>+Y433*'Volcano Summary'!B$19*'Volcano Summary'!B$20/1000</f>
        <v>16200000</v>
      </c>
      <c r="AA433" s="1">
        <f t="shared" si="277"/>
        <v>850236.3446975399</v>
      </c>
      <c r="AB433" s="3">
        <f aca="true" t="shared" si="304" ref="AB433:AB496">+AA433/3600</f>
        <v>236.17676241598332</v>
      </c>
      <c r="AC433" s="1">
        <f t="shared" si="297"/>
        <v>43280512.01246086</v>
      </c>
      <c r="AD433" s="36">
        <f t="shared" si="298"/>
        <v>12022.36444790579</v>
      </c>
      <c r="AE433" s="36">
        <f t="shared" si="303"/>
        <v>500.93185199607456</v>
      </c>
      <c r="AG433" s="1">
        <f t="shared" si="278"/>
        <v>16200000000</v>
      </c>
      <c r="AH433" s="1">
        <f t="shared" si="299"/>
        <v>16200000</v>
      </c>
      <c r="AI433" s="1">
        <f t="shared" si="300"/>
        <v>16216200000</v>
      </c>
      <c r="AJ433" s="1">
        <f t="shared" si="301"/>
        <v>550800000000</v>
      </c>
      <c r="AK433" s="1">
        <f t="shared" si="302"/>
        <v>551350800000</v>
      </c>
      <c r="AL433" s="39">
        <f>+AJ433/('Volcano Summary'!C$8)*10^6</f>
        <v>38238.121216388136</v>
      </c>
      <c r="AM433" s="1">
        <f t="shared" si="279"/>
        <v>500.93185199607456</v>
      </c>
    </row>
    <row r="434" spans="1:39" ht="12.75">
      <c r="A434" s="1">
        <f t="shared" si="293"/>
        <v>850236.3446975399</v>
      </c>
      <c r="B434" s="1">
        <f t="shared" si="294"/>
        <v>510.6059013865491</v>
      </c>
      <c r="C434" s="1">
        <f t="shared" si="271"/>
        <v>27200</v>
      </c>
      <c r="D434" s="1">
        <f t="shared" si="280"/>
        <v>186.09705966725113</v>
      </c>
      <c r="E434" s="38">
        <f t="shared" si="272"/>
        <v>1964771269.406328</v>
      </c>
      <c r="F434" s="38">
        <f t="shared" si="273"/>
        <v>1263245823.7133162</v>
      </c>
      <c r="G434" s="38">
        <f t="shared" si="274"/>
        <v>561720378.0203048</v>
      </c>
      <c r="H434" s="18">
        <f t="shared" si="281"/>
        <v>0.002686770016108904</v>
      </c>
      <c r="I434" s="50">
        <f t="shared" si="270"/>
        <v>0.026142166751547978</v>
      </c>
      <c r="J434" s="3">
        <f t="shared" si="282"/>
        <v>8.523798978417823</v>
      </c>
      <c r="K434" s="12">
        <f t="shared" si="291"/>
        <v>0.8408567632230418</v>
      </c>
      <c r="L434" s="3">
        <f t="shared" si="283"/>
        <v>1328.6204019956533</v>
      </c>
      <c r="M434" s="12">
        <f t="shared" si="292"/>
        <v>0.7242855877410139</v>
      </c>
      <c r="N434" s="37">
        <f t="shared" si="284"/>
        <v>38476.28045026083</v>
      </c>
      <c r="O434" s="1">
        <f t="shared" si="275"/>
        <v>253746.33619086302</v>
      </c>
      <c r="P434">
        <f t="shared" si="285"/>
        <v>503.73240534123175</v>
      </c>
      <c r="Q434" s="1">
        <f t="shared" si="286"/>
        <v>19381.749299793697</v>
      </c>
      <c r="R434" s="1">
        <f>+Q434*1000/'Material Properties'!AE$35</f>
        <v>16621524.853549855</v>
      </c>
      <c r="S434" s="1">
        <f t="shared" si="287"/>
        <v>611.08547255698</v>
      </c>
      <c r="T434" s="1">
        <f t="shared" si="288"/>
        <v>211.44095122149156</v>
      </c>
      <c r="U434">
        <f t="shared" si="276"/>
        <v>4.039682383758583E-05</v>
      </c>
      <c r="V434">
        <f>+'Material Properties'!AE$31+'Material Properties'!AE$33</f>
        <v>0.00029034311030761144</v>
      </c>
      <c r="W434">
        <f t="shared" si="295"/>
        <v>0.00033073993414519726</v>
      </c>
      <c r="X434" s="1">
        <f>+'Volcano Summary'!E$12*10^9/Q434/3600/24/365</f>
        <v>0</v>
      </c>
      <c r="Y434" s="3">
        <f t="shared" si="296"/>
        <v>400</v>
      </c>
      <c r="Z434" s="1">
        <f>+Y434*'Volcano Summary'!B$19*'Volcano Summary'!B$20/1000</f>
        <v>16200000</v>
      </c>
      <c r="AA434" s="1">
        <f t="shared" si="277"/>
        <v>835837.8673370023</v>
      </c>
      <c r="AB434" s="3">
        <f t="shared" si="304"/>
        <v>232.17718537138953</v>
      </c>
      <c r="AC434" s="1">
        <f t="shared" si="297"/>
        <v>44116349.87979786</v>
      </c>
      <c r="AD434" s="36">
        <f t="shared" si="298"/>
        <v>12254.541633277178</v>
      </c>
      <c r="AE434" s="36">
        <f t="shared" si="303"/>
        <v>510.6059013865491</v>
      </c>
      <c r="AG434" s="1">
        <f t="shared" si="278"/>
        <v>16200000000.000002</v>
      </c>
      <c r="AH434" s="1">
        <f t="shared" si="299"/>
        <v>16200000</v>
      </c>
      <c r="AI434" s="1">
        <f t="shared" si="300"/>
        <v>16216200000.000002</v>
      </c>
      <c r="AJ434" s="1">
        <f t="shared" si="301"/>
        <v>567000000000</v>
      </c>
      <c r="AK434" s="1">
        <f t="shared" si="302"/>
        <v>567567000000</v>
      </c>
      <c r="AL434" s="39">
        <f>+AJ434/('Volcano Summary'!C$8)*10^6</f>
        <v>39362.77184039955</v>
      </c>
      <c r="AM434" s="1">
        <f t="shared" si="279"/>
        <v>510.6059013865491</v>
      </c>
    </row>
    <row r="435" spans="1:39" ht="12.75">
      <c r="A435" s="1">
        <f t="shared" si="293"/>
        <v>835837.8673370023</v>
      </c>
      <c r="B435" s="1">
        <f t="shared" si="294"/>
        <v>520.1184765686945</v>
      </c>
      <c r="C435" s="1">
        <f t="shared" si="271"/>
        <v>27600</v>
      </c>
      <c r="D435" s="1">
        <f t="shared" si="280"/>
        <v>187.46042631630414</v>
      </c>
      <c r="E435" s="38">
        <f t="shared" si="272"/>
        <v>1979165390.5521202</v>
      </c>
      <c r="F435" s="38">
        <f t="shared" si="273"/>
        <v>1272500495.596288</v>
      </c>
      <c r="G435" s="38">
        <f t="shared" si="274"/>
        <v>565835600.6404562</v>
      </c>
      <c r="H435" s="18">
        <f t="shared" si="281"/>
        <v>0.0026672296112052163</v>
      </c>
      <c r="I435" s="50">
        <f t="shared" si="270"/>
        <v>0.026109969804972755</v>
      </c>
      <c r="J435" s="3">
        <f t="shared" si="282"/>
        <v>8.464128461149743</v>
      </c>
      <c r="K435" s="12">
        <f t="shared" si="291"/>
        <v>0.838708624601391</v>
      </c>
      <c r="L435" s="3">
        <f t="shared" si="283"/>
        <v>1325.2261725336693</v>
      </c>
      <c r="M435" s="12">
        <f t="shared" si="292"/>
        <v>0.723569541533797</v>
      </c>
      <c r="N435" s="37">
        <f t="shared" si="284"/>
        <v>39042.10810394114</v>
      </c>
      <c r="O435" s="1">
        <f t="shared" si="275"/>
        <v>254882.3839049699</v>
      </c>
      <c r="P435">
        <f t="shared" si="285"/>
        <v>504.85877619881967</v>
      </c>
      <c r="Q435" s="1">
        <f t="shared" si="286"/>
        <v>19710.750917577745</v>
      </c>
      <c r="R435" s="1">
        <f>+Q435*1000/'Material Properties'!AE$35</f>
        <v>16903672.170712493</v>
      </c>
      <c r="S435" s="1">
        <f t="shared" si="287"/>
        <v>612.4518902432063</v>
      </c>
      <c r="T435" s="1">
        <f t="shared" si="288"/>
        <v>213.74755208218994</v>
      </c>
      <c r="U435">
        <f t="shared" si="276"/>
        <v>3.9962719894962816E-05</v>
      </c>
      <c r="V435">
        <f>+'Material Properties'!AE$31+'Material Properties'!AE$33</f>
        <v>0.00029034311030761144</v>
      </c>
      <c r="W435">
        <f t="shared" si="295"/>
        <v>0.00033030583020257425</v>
      </c>
      <c r="X435" s="1">
        <f>+'Volcano Summary'!E$12*10^9/Q435/3600/24/365</f>
        <v>0</v>
      </c>
      <c r="Y435" s="3">
        <f t="shared" si="296"/>
        <v>400</v>
      </c>
      <c r="Z435" s="1">
        <f>+Y435*'Volcano Summary'!B$19*'Volcano Summary'!B$20/1000</f>
        <v>16200000</v>
      </c>
      <c r="AA435" s="1">
        <f t="shared" si="277"/>
        <v>821886.4957373638</v>
      </c>
      <c r="AB435" s="3">
        <f t="shared" si="304"/>
        <v>228.30180437148994</v>
      </c>
      <c r="AC435" s="1">
        <f t="shared" si="297"/>
        <v>44938236.37553523</v>
      </c>
      <c r="AD435" s="36">
        <f t="shared" si="298"/>
        <v>12482.843437648668</v>
      </c>
      <c r="AE435" s="36">
        <f t="shared" si="303"/>
        <v>520.1184765686945</v>
      </c>
      <c r="AG435" s="1">
        <f t="shared" si="278"/>
        <v>16200000000.000002</v>
      </c>
      <c r="AH435" s="1">
        <f t="shared" si="299"/>
        <v>16200000</v>
      </c>
      <c r="AI435" s="1">
        <f t="shared" si="300"/>
        <v>16216200000.000002</v>
      </c>
      <c r="AJ435" s="1">
        <f t="shared" si="301"/>
        <v>583200000000</v>
      </c>
      <c r="AK435" s="1">
        <f t="shared" si="302"/>
        <v>583783200000</v>
      </c>
      <c r="AL435" s="39">
        <f>+AJ435/('Volcano Summary'!C$8)*10^6</f>
        <v>40487.42246441096</v>
      </c>
      <c r="AM435" s="1">
        <f t="shared" si="279"/>
        <v>520.1184765686945</v>
      </c>
    </row>
    <row r="436" spans="1:39" ht="12.75">
      <c r="A436" s="1">
        <f t="shared" si="293"/>
        <v>821886.4957373638</v>
      </c>
      <c r="B436" s="1">
        <f t="shared" si="294"/>
        <v>529.4745209503138</v>
      </c>
      <c r="C436" s="1">
        <f t="shared" si="271"/>
        <v>28000</v>
      </c>
      <c r="D436" s="1">
        <f t="shared" si="280"/>
        <v>188.81394877652593</v>
      </c>
      <c r="E436" s="38">
        <f t="shared" si="272"/>
        <v>1993455578.946794</v>
      </c>
      <c r="F436" s="38">
        <f t="shared" si="273"/>
        <v>1281688344.1213245</v>
      </c>
      <c r="G436" s="38">
        <f t="shared" si="274"/>
        <v>569921109.2958546</v>
      </c>
      <c r="H436" s="18">
        <f t="shared" si="281"/>
        <v>0.0026481094391589883</v>
      </c>
      <c r="I436" s="50">
        <f t="shared" si="270"/>
        <v>0.02607831365043756</v>
      </c>
      <c r="J436" s="3">
        <f t="shared" si="282"/>
        <v>8.405822853507239</v>
      </c>
      <c r="K436" s="12">
        <f t="shared" si="291"/>
        <v>0.8366096227262607</v>
      </c>
      <c r="L436" s="3">
        <f t="shared" si="283"/>
        <v>1321.9095830298452</v>
      </c>
      <c r="M436" s="12">
        <f t="shared" si="292"/>
        <v>0.7228698742420869</v>
      </c>
      <c r="N436" s="37">
        <f t="shared" si="284"/>
        <v>39607.93575762145</v>
      </c>
      <c r="O436" s="1">
        <f t="shared" si="275"/>
        <v>256008.02531346565</v>
      </c>
      <c r="P436">
        <f t="shared" si="285"/>
        <v>505.97235627400204</v>
      </c>
      <c r="Q436" s="1">
        <f t="shared" si="286"/>
        <v>20040.520582433026</v>
      </c>
      <c r="R436" s="1">
        <f>+Q436*1000/'Material Properties'!AE$35</f>
        <v>17186478.154607724</v>
      </c>
      <c r="S436" s="1">
        <f t="shared" si="287"/>
        <v>613.8027912359902</v>
      </c>
      <c r="T436" s="1">
        <f t="shared" si="288"/>
        <v>215.98730549301786</v>
      </c>
      <c r="U436">
        <f t="shared" si="276"/>
        <v>3.9550032587205265E-05</v>
      </c>
      <c r="V436">
        <f>+'Material Properties'!AE$31+'Material Properties'!AE$33</f>
        <v>0.00029034311030761144</v>
      </c>
      <c r="W436">
        <f t="shared" si="295"/>
        <v>0.0003298931428948167</v>
      </c>
      <c r="X436" s="1">
        <f>+'Volcano Summary'!E$12*10^9/Q436/3600/24/365</f>
        <v>0</v>
      </c>
      <c r="Y436" s="3">
        <f t="shared" si="296"/>
        <v>400</v>
      </c>
      <c r="Z436" s="1">
        <f>+Y436*'Volcano Summary'!B$19*'Volcano Summary'!B$20/1000</f>
        <v>16200000</v>
      </c>
      <c r="AA436" s="1">
        <f t="shared" si="277"/>
        <v>808362.2345719142</v>
      </c>
      <c r="AB436" s="3">
        <f t="shared" si="304"/>
        <v>224.54506515886504</v>
      </c>
      <c r="AC436" s="1">
        <f t="shared" si="297"/>
        <v>45746598.61010714</v>
      </c>
      <c r="AD436" s="36">
        <f t="shared" si="298"/>
        <v>12707.388502807533</v>
      </c>
      <c r="AE436" s="36">
        <f t="shared" si="303"/>
        <v>529.4745209503138</v>
      </c>
      <c r="AG436" s="1">
        <f t="shared" si="278"/>
        <v>16200000000</v>
      </c>
      <c r="AH436" s="1">
        <f t="shared" si="299"/>
        <v>16200000</v>
      </c>
      <c r="AI436" s="1">
        <f t="shared" si="300"/>
        <v>16216200000</v>
      </c>
      <c r="AJ436" s="1">
        <f t="shared" si="301"/>
        <v>599400000000</v>
      </c>
      <c r="AK436" s="1">
        <f t="shared" si="302"/>
        <v>599999400000</v>
      </c>
      <c r="AL436" s="39">
        <f>+AJ436/('Volcano Summary'!C$8)*10^6</f>
        <v>41612.07308842238</v>
      </c>
      <c r="AM436" s="1">
        <f t="shared" si="279"/>
        <v>529.4745209503138</v>
      </c>
    </row>
    <row r="437" spans="1:39" ht="12.75">
      <c r="A437" s="1">
        <f t="shared" si="293"/>
        <v>808362.2345719142</v>
      </c>
      <c r="B437" s="1">
        <f t="shared" si="294"/>
        <v>538.6787599408106</v>
      </c>
      <c r="C437" s="1">
        <f t="shared" si="271"/>
        <v>28400</v>
      </c>
      <c r="D437" s="1">
        <f t="shared" si="280"/>
        <v>190.15783725757564</v>
      </c>
      <c r="E437" s="38">
        <f t="shared" si="272"/>
        <v>2007644053.9370697</v>
      </c>
      <c r="F437" s="38">
        <f t="shared" si="273"/>
        <v>1290810796.213034</v>
      </c>
      <c r="G437" s="38">
        <f t="shared" si="274"/>
        <v>573977538.4889979</v>
      </c>
      <c r="H437" s="18">
        <f t="shared" si="281"/>
        <v>0.0026293946503121615</v>
      </c>
      <c r="I437" s="50">
        <f t="shared" si="270"/>
        <v>0.026047181580177516</v>
      </c>
      <c r="J437" s="3">
        <f t="shared" si="282"/>
        <v>8.348831990262823</v>
      </c>
      <c r="K437" s="12">
        <f t="shared" si="291"/>
        <v>0.8345579516494619</v>
      </c>
      <c r="L437" s="3">
        <f t="shared" si="283"/>
        <v>1318.6677799427523</v>
      </c>
      <c r="M437" s="12">
        <f t="shared" si="292"/>
        <v>0.7221859838831539</v>
      </c>
      <c r="N437" s="37">
        <f t="shared" si="284"/>
        <v>40173.76341130174</v>
      </c>
      <c r="O437" s="1">
        <f t="shared" si="275"/>
        <v>257123.4788763762</v>
      </c>
      <c r="P437">
        <f t="shared" si="285"/>
        <v>507.07344524869</v>
      </c>
      <c r="Q437" s="1">
        <f t="shared" si="286"/>
        <v>20371.04862157454</v>
      </c>
      <c r="R437" s="1">
        <f>+Q437*1000/'Material Properties'!AE$35</f>
        <v>17469934.509986557</v>
      </c>
      <c r="S437" s="1">
        <f t="shared" si="287"/>
        <v>615.1385390840337</v>
      </c>
      <c r="T437" s="1">
        <f t="shared" si="288"/>
        <v>218.16309860758565</v>
      </c>
      <c r="U437">
        <f t="shared" si="276"/>
        <v>3.915721111644573E-05</v>
      </c>
      <c r="V437">
        <f>+'Material Properties'!AE$31+'Material Properties'!AE$33</f>
        <v>0.00029034311030761144</v>
      </c>
      <c r="W437">
        <f t="shared" si="295"/>
        <v>0.00032950032142405717</v>
      </c>
      <c r="X437" s="1">
        <f>+'Volcano Summary'!E$12*10^9/Q437/3600/24/365</f>
        <v>0</v>
      </c>
      <c r="Y437" s="3">
        <f t="shared" si="296"/>
        <v>400</v>
      </c>
      <c r="Z437" s="1">
        <f>+Y437*'Volcano Summary'!B$19*'Volcano Summary'!B$20/1000</f>
        <v>16200000</v>
      </c>
      <c r="AA437" s="1">
        <f t="shared" si="277"/>
        <v>795246.2487789129</v>
      </c>
      <c r="AB437" s="3">
        <f t="shared" si="304"/>
        <v>220.90173577192027</v>
      </c>
      <c r="AC437" s="1">
        <f t="shared" si="297"/>
        <v>46541844.85888605</v>
      </c>
      <c r="AD437" s="36">
        <f t="shared" si="298"/>
        <v>12928.290238579453</v>
      </c>
      <c r="AE437" s="36">
        <f t="shared" si="303"/>
        <v>538.6787599408106</v>
      </c>
      <c r="AG437" s="1">
        <f t="shared" si="278"/>
        <v>16199999999.999998</v>
      </c>
      <c r="AH437" s="1">
        <f t="shared" si="299"/>
        <v>16200000</v>
      </c>
      <c r="AI437" s="1">
        <f t="shared" si="300"/>
        <v>16216199999.999998</v>
      </c>
      <c r="AJ437" s="1">
        <f t="shared" si="301"/>
        <v>615600000000</v>
      </c>
      <c r="AK437" s="1">
        <f t="shared" si="302"/>
        <v>616215600000</v>
      </c>
      <c r="AL437" s="39">
        <f>+AJ437/('Volcano Summary'!C$8)*10^6</f>
        <v>42736.7237124338</v>
      </c>
      <c r="AM437" s="1">
        <f t="shared" si="279"/>
        <v>538.6787599408106</v>
      </c>
    </row>
    <row r="438" spans="1:39" ht="12.75">
      <c r="A438" s="1">
        <f t="shared" si="293"/>
        <v>795246.2487789129</v>
      </c>
      <c r="B438" s="1">
        <f t="shared" si="294"/>
        <v>547.7357134269248</v>
      </c>
      <c r="C438" s="1">
        <f t="shared" si="271"/>
        <v>28800</v>
      </c>
      <c r="D438" s="1">
        <f t="shared" si="280"/>
        <v>191.4922945926877</v>
      </c>
      <c r="E438" s="38">
        <f t="shared" si="272"/>
        <v>2021732956.9910178</v>
      </c>
      <c r="F438" s="38">
        <f t="shared" si="273"/>
        <v>1299869228.7241013</v>
      </c>
      <c r="G438" s="38">
        <f t="shared" si="274"/>
        <v>578005500.4571849</v>
      </c>
      <c r="H438" s="18">
        <f t="shared" si="281"/>
        <v>0.002611071119407292</v>
      </c>
      <c r="I438" s="50">
        <f t="shared" si="270"/>
        <v>0.02601655763046208</v>
      </c>
      <c r="J438" s="3">
        <f t="shared" si="282"/>
        <v>8.293108225529494</v>
      </c>
      <c r="K438" s="12">
        <f t="shared" si="291"/>
        <v>0.832551896119062</v>
      </c>
      <c r="L438" s="3">
        <f t="shared" si="283"/>
        <v>1315.4980530382443</v>
      </c>
      <c r="M438" s="12">
        <f t="shared" si="292"/>
        <v>0.7215172987063541</v>
      </c>
      <c r="N438" s="37">
        <f t="shared" si="284"/>
        <v>40739.59106498206</v>
      </c>
      <c r="O438" s="1">
        <f t="shared" si="275"/>
        <v>258228.95561856445</v>
      </c>
      <c r="P438">
        <f t="shared" si="285"/>
        <v>508.16233195561085</v>
      </c>
      <c r="Q438" s="1">
        <f t="shared" si="286"/>
        <v>20702.32559849925</v>
      </c>
      <c r="R438" s="1">
        <f>+Q438*1000/'Material Properties'!AE$35</f>
        <v>17754033.144232206</v>
      </c>
      <c r="S438" s="1">
        <f t="shared" si="287"/>
        <v>616.4594841747294</v>
      </c>
      <c r="T438" s="1">
        <f t="shared" si="288"/>
        <v>220.27765464031972</v>
      </c>
      <c r="U438">
        <f t="shared" si="276"/>
        <v>3.878285088947808E-05</v>
      </c>
      <c r="V438">
        <f>+'Material Properties'!AE$31+'Material Properties'!AE$33</f>
        <v>0.00029034311030761144</v>
      </c>
      <c r="W438">
        <f t="shared" si="295"/>
        <v>0.0003291259611970895</v>
      </c>
      <c r="X438" s="1">
        <f>+'Volcano Summary'!E$12*10^9/Q438/3600/24/365</f>
        <v>0</v>
      </c>
      <c r="Y438" s="3">
        <f t="shared" si="296"/>
        <v>400</v>
      </c>
      <c r="Z438" s="1">
        <f>+Y438*'Volcano Summary'!B$19*'Volcano Summary'!B$20/1000</f>
        <v>16200000</v>
      </c>
      <c r="AA438" s="1">
        <f t="shared" si="277"/>
        <v>782520.781200271</v>
      </c>
      <c r="AB438" s="3">
        <f t="shared" si="304"/>
        <v>217.36688366674193</v>
      </c>
      <c r="AC438" s="1">
        <f t="shared" si="297"/>
        <v>47324365.640086316</v>
      </c>
      <c r="AD438" s="36">
        <f t="shared" si="298"/>
        <v>13145.657122246195</v>
      </c>
      <c r="AE438" s="36">
        <f t="shared" si="303"/>
        <v>547.7357134269248</v>
      </c>
      <c r="AG438" s="1">
        <f t="shared" si="278"/>
        <v>16200000000</v>
      </c>
      <c r="AH438" s="1">
        <f t="shared" si="299"/>
        <v>16200000</v>
      </c>
      <c r="AI438" s="1">
        <f t="shared" si="300"/>
        <v>16216200000</v>
      </c>
      <c r="AJ438" s="1">
        <f t="shared" si="301"/>
        <v>631800000000</v>
      </c>
      <c r="AK438" s="1">
        <f t="shared" si="302"/>
        <v>632431800000</v>
      </c>
      <c r="AL438" s="39">
        <f>+AJ438/('Volcano Summary'!C$8)*10^6</f>
        <v>43861.37433644522</v>
      </c>
      <c r="AM438" s="1">
        <f t="shared" si="279"/>
        <v>547.7357134269248</v>
      </c>
    </row>
    <row r="439" spans="1:39" ht="12.75">
      <c r="A439" s="1">
        <f t="shared" si="293"/>
        <v>782520.781200271</v>
      </c>
      <c r="B439" s="1">
        <f t="shared" si="294"/>
        <v>556.649707374913</v>
      </c>
      <c r="C439" s="1">
        <f t="shared" si="271"/>
        <v>29200</v>
      </c>
      <c r="D439" s="1">
        <f t="shared" si="280"/>
        <v>192.81751659604672</v>
      </c>
      <c r="E439" s="38">
        <f t="shared" si="272"/>
        <v>2035724355.471147</v>
      </c>
      <c r="F439" s="38">
        <f t="shared" si="273"/>
        <v>1308864970.861186</v>
      </c>
      <c r="G439" s="38">
        <f t="shared" si="274"/>
        <v>582005586.2512254</v>
      </c>
      <c r="H439" s="18">
        <f t="shared" si="281"/>
        <v>0.002593125400777262</v>
      </c>
      <c r="I439" s="50">
        <f t="shared" si="270"/>
        <v>0.025986426538614726</v>
      </c>
      <c r="J439" s="3">
        <f t="shared" si="282"/>
        <v>8.238606273271419</v>
      </c>
      <c r="K439" s="12">
        <f t="shared" si="291"/>
        <v>0.8305898258377713</v>
      </c>
      <c r="L439" s="3">
        <f t="shared" si="283"/>
        <v>1312.397826317251</v>
      </c>
      <c r="M439" s="12">
        <f t="shared" si="292"/>
        <v>0.7208632752792571</v>
      </c>
      <c r="N439" s="37">
        <f t="shared" si="284"/>
        <v>41305.41871866236</v>
      </c>
      <c r="O439" s="1">
        <f t="shared" si="275"/>
        <v>259324.65948034666</v>
      </c>
      <c r="P439">
        <f t="shared" si="285"/>
        <v>509.2392949099143</v>
      </c>
      <c r="Q439" s="1">
        <f t="shared" si="286"/>
        <v>21034.342304250396</v>
      </c>
      <c r="R439" s="1">
        <f>+Q439*1000/'Material Properties'!AE$35</f>
        <v>18038766.159868475</v>
      </c>
      <c r="S439" s="1">
        <f t="shared" si="287"/>
        <v>617.7659643790573</v>
      </c>
      <c r="T439" s="1">
        <f t="shared" si="288"/>
        <v>222.33354432653596</v>
      </c>
      <c r="U439">
        <f t="shared" si="276"/>
        <v>3.842567668706919E-05</v>
      </c>
      <c r="V439">
        <f>+'Material Properties'!AE$31+'Material Properties'!AE$33</f>
        <v>0.00029034311030761144</v>
      </c>
      <c r="W439">
        <f t="shared" si="295"/>
        <v>0.00032876878699468064</v>
      </c>
      <c r="X439" s="1">
        <f>+'Volcano Summary'!E$12*10^9/Q439/3600/24/365</f>
        <v>0</v>
      </c>
      <c r="Y439" s="3">
        <f t="shared" si="296"/>
        <v>400</v>
      </c>
      <c r="Z439" s="1">
        <f>+Y439*'Volcano Summary'!B$19*'Volcano Summary'!B$20/1000</f>
        <v>16200000</v>
      </c>
      <c r="AA439" s="1">
        <f t="shared" si="277"/>
        <v>770169.0771061796</v>
      </c>
      <c r="AB439" s="3">
        <f t="shared" si="304"/>
        <v>213.93585475171653</v>
      </c>
      <c r="AC439" s="1">
        <f t="shared" si="297"/>
        <v>48094534.71719249</v>
      </c>
      <c r="AD439" s="36">
        <f t="shared" si="298"/>
        <v>13359.592976997912</v>
      </c>
      <c r="AE439" s="36">
        <f t="shared" si="303"/>
        <v>556.649707374913</v>
      </c>
      <c r="AG439" s="1">
        <f t="shared" si="278"/>
        <v>16199999999.999998</v>
      </c>
      <c r="AH439" s="1">
        <f t="shared" si="299"/>
        <v>16200000</v>
      </c>
      <c r="AI439" s="1">
        <f t="shared" si="300"/>
        <v>16216199999.999998</v>
      </c>
      <c r="AJ439" s="1">
        <f t="shared" si="301"/>
        <v>648000000000</v>
      </c>
      <c r="AK439" s="1">
        <f t="shared" si="302"/>
        <v>648648000000</v>
      </c>
      <c r="AL439" s="39">
        <f>+AJ439/('Volcano Summary'!C$8)*10^6</f>
        <v>44986.02496045663</v>
      </c>
      <c r="AM439" s="1">
        <f t="shared" si="279"/>
        <v>556.649707374913</v>
      </c>
    </row>
    <row r="440" spans="1:39" ht="12.75">
      <c r="A440" s="1">
        <f t="shared" si="293"/>
        <v>770169.0771061796</v>
      </c>
      <c r="B440" s="1">
        <f t="shared" si="294"/>
        <v>565.4248846312245</v>
      </c>
      <c r="C440" s="1">
        <f t="shared" si="271"/>
        <v>29600</v>
      </c>
      <c r="D440" s="1">
        <f t="shared" si="280"/>
        <v>194.13369239820483</v>
      </c>
      <c r="E440" s="38">
        <f t="shared" si="272"/>
        <v>2049620246.1756637</v>
      </c>
      <c r="F440" s="38">
        <f t="shared" si="273"/>
        <v>1317799306.461768</v>
      </c>
      <c r="G440" s="38">
        <f t="shared" si="274"/>
        <v>585978366.7478725</v>
      </c>
      <c r="H440" s="18">
        <f t="shared" si="281"/>
        <v>0.002575544686876947</v>
      </c>
      <c r="I440" s="50">
        <f t="shared" si="270"/>
        <v>0.025956773703068165</v>
      </c>
      <c r="J440" s="3">
        <f t="shared" si="282"/>
        <v>8.185283059940447</v>
      </c>
      <c r="K440" s="12">
        <f t="shared" si="291"/>
        <v>0.8286701901578563</v>
      </c>
      <c r="L440" s="3">
        <f t="shared" si="283"/>
        <v>1309.3646496333197</v>
      </c>
      <c r="M440" s="12">
        <f t="shared" si="292"/>
        <v>0.7202233967192855</v>
      </c>
      <c r="N440" s="37">
        <f t="shared" si="284"/>
        <v>41871.246372342655</v>
      </c>
      <c r="O440" s="1">
        <f t="shared" si="275"/>
        <v>260410.78764705028</v>
      </c>
      <c r="P440">
        <f t="shared" si="285"/>
        <v>510.30460280801924</v>
      </c>
      <c r="Q440" s="1">
        <f t="shared" si="286"/>
        <v>21367.089749115035</v>
      </c>
      <c r="R440" s="1">
        <f>+Q440*1000/'Material Properties'!AE$35</f>
        <v>18324125.847439695</v>
      </c>
      <c r="S440" s="1">
        <f t="shared" si="287"/>
        <v>619.0583056567465</v>
      </c>
      <c r="T440" s="1">
        <f t="shared" si="288"/>
        <v>224.3331964357019</v>
      </c>
      <c r="U440">
        <f t="shared" si="276"/>
        <v>3.80845281057349E-05</v>
      </c>
      <c r="V440">
        <f>+'Material Properties'!AE$31+'Material Properties'!AE$33</f>
        <v>0.00029034311030761144</v>
      </c>
      <c r="W440">
        <f t="shared" si="295"/>
        <v>0.00032842763841334634</v>
      </c>
      <c r="X440" s="1">
        <f>+'Volcano Summary'!E$12*10^9/Q440/3600/24/365</f>
        <v>0</v>
      </c>
      <c r="Y440" s="3">
        <f t="shared" si="296"/>
        <v>400</v>
      </c>
      <c r="Z440" s="1">
        <f>+Y440*'Volcano Summary'!B$19*'Volcano Summary'!B$20/1000</f>
        <v>16200000</v>
      </c>
      <c r="AA440" s="1">
        <f t="shared" si="277"/>
        <v>758175.3149453101</v>
      </c>
      <c r="AB440" s="3">
        <f t="shared" si="304"/>
        <v>210.60425415147503</v>
      </c>
      <c r="AC440" s="1">
        <f t="shared" si="297"/>
        <v>48852710.032137804</v>
      </c>
      <c r="AD440" s="36">
        <f t="shared" si="298"/>
        <v>13570.197231149386</v>
      </c>
      <c r="AE440" s="36">
        <f t="shared" si="303"/>
        <v>565.4248846312245</v>
      </c>
      <c r="AG440" s="1">
        <f t="shared" si="278"/>
        <v>16200000000</v>
      </c>
      <c r="AH440" s="1">
        <f t="shared" si="299"/>
        <v>16200000</v>
      </c>
      <c r="AI440" s="1">
        <f t="shared" si="300"/>
        <v>16216200000</v>
      </c>
      <c r="AJ440" s="1">
        <f t="shared" si="301"/>
        <v>664200000000</v>
      </c>
      <c r="AK440" s="1">
        <f t="shared" si="302"/>
        <v>664864200000</v>
      </c>
      <c r="AL440" s="39">
        <f>+AJ440/('Volcano Summary'!C$8)*10^6</f>
        <v>46110.675584468045</v>
      </c>
      <c r="AM440" s="1">
        <f t="shared" si="279"/>
        <v>565.4248846312245</v>
      </c>
    </row>
    <row r="441" spans="1:39" ht="12.75">
      <c r="A441" s="1">
        <f t="shared" si="293"/>
        <v>758175.3149453101</v>
      </c>
      <c r="B441" s="1">
        <f t="shared" si="294"/>
        <v>574.0652149869126</v>
      </c>
      <c r="C441" s="1">
        <f t="shared" si="271"/>
        <v>30000</v>
      </c>
      <c r="D441" s="1">
        <f t="shared" si="280"/>
        <v>195.441004761168</v>
      </c>
      <c r="E441" s="38">
        <f t="shared" si="272"/>
        <v>2063422558.6650844</v>
      </c>
      <c r="F441" s="38">
        <f t="shared" si="273"/>
        <v>1326673476.1329863</v>
      </c>
      <c r="G441" s="38">
        <f t="shared" si="274"/>
        <v>589924393.6008885</v>
      </c>
      <c r="H441" s="18">
        <f t="shared" si="281"/>
        <v>0.002558316769866221</v>
      </c>
      <c r="I441" s="50">
        <f t="shared" si="270"/>
        <v>0.025927585146202737</v>
      </c>
      <c r="J441" s="3">
        <f t="shared" si="282"/>
        <v>8.133097588166478</v>
      </c>
      <c r="K441" s="12">
        <f t="shared" si="291"/>
        <v>0.8267915131739934</v>
      </c>
      <c r="L441" s="3">
        <f t="shared" si="283"/>
        <v>1306.396190938937</v>
      </c>
      <c r="M441" s="12">
        <f t="shared" si="292"/>
        <v>0.7195971710579978</v>
      </c>
      <c r="N441" s="37">
        <f t="shared" si="284"/>
        <v>42437.07402602298</v>
      </c>
      <c r="O441" s="1">
        <f t="shared" si="275"/>
        <v>261487.53085904501</v>
      </c>
      <c r="P441">
        <f t="shared" si="285"/>
        <v>511.3585149961278</v>
      </c>
      <c r="Q441" s="1">
        <f t="shared" si="286"/>
        <v>21700.559154727856</v>
      </c>
      <c r="R441" s="1">
        <f>+Q441*1000/'Material Properties'!AE$35</f>
        <v>18610104.678739045</v>
      </c>
      <c r="S441" s="1">
        <f t="shared" si="287"/>
        <v>620.3368226246348</v>
      </c>
      <c r="T441" s="1">
        <f t="shared" si="288"/>
        <v>226.2789074277921</v>
      </c>
      <c r="U441">
        <f t="shared" si="276"/>
        <v>3.7758346921914176E-05</v>
      </c>
      <c r="V441">
        <f>+'Material Properties'!AE$31+'Material Properties'!AE$33</f>
        <v>0.00029034311030761144</v>
      </c>
      <c r="W441">
        <f t="shared" si="295"/>
        <v>0.00032810145722952564</v>
      </c>
      <c r="X441" s="1">
        <f>+'Volcano Summary'!E$12*10^9/Q441/3600/24/365</f>
        <v>0</v>
      </c>
      <c r="Y441" s="3">
        <f t="shared" si="296"/>
        <v>400</v>
      </c>
      <c r="Z441" s="1">
        <f>+Y441*'Volcano Summary'!B$19*'Volcano Summary'!B$20/1000</f>
        <v>16200000</v>
      </c>
      <c r="AA441" s="1">
        <f t="shared" si="277"/>
        <v>746524.5427314503</v>
      </c>
      <c r="AB441" s="3">
        <f t="shared" si="304"/>
        <v>207.36792853651397</v>
      </c>
      <c r="AC441" s="1">
        <f t="shared" si="297"/>
        <v>49599234.57486925</v>
      </c>
      <c r="AD441" s="36">
        <f t="shared" si="298"/>
        <v>13777.5651596859</v>
      </c>
      <c r="AE441" s="36">
        <f t="shared" si="303"/>
        <v>574.0652149869126</v>
      </c>
      <c r="AG441" s="1">
        <f t="shared" si="278"/>
        <v>16200000000</v>
      </c>
      <c r="AH441" s="1">
        <f t="shared" si="299"/>
        <v>16200000</v>
      </c>
      <c r="AI441" s="1">
        <f t="shared" si="300"/>
        <v>16216200000</v>
      </c>
      <c r="AJ441" s="1">
        <f t="shared" si="301"/>
        <v>680400000000</v>
      </c>
      <c r="AK441" s="1">
        <f t="shared" si="302"/>
        <v>681080400000</v>
      </c>
      <c r="AL441" s="39">
        <f>+AJ441/('Volcano Summary'!C$8)*10^6</f>
        <v>47235.32620847946</v>
      </c>
      <c r="AM441" s="1">
        <f t="shared" si="279"/>
        <v>574.0652149869126</v>
      </c>
    </row>
    <row r="442" spans="1:39" ht="12.75">
      <c r="A442" s="1">
        <f t="shared" si="293"/>
        <v>746524.5427314503</v>
      </c>
      <c r="B442" s="1">
        <f t="shared" si="294"/>
        <v>582.5745045649238</v>
      </c>
      <c r="C442" s="1">
        <f t="shared" si="271"/>
        <v>30400</v>
      </c>
      <c r="D442" s="1">
        <f t="shared" si="280"/>
        <v>196.7396303746374</v>
      </c>
      <c r="E442" s="38">
        <f t="shared" si="272"/>
        <v>2077133158.389884</v>
      </c>
      <c r="F442" s="38">
        <f t="shared" si="273"/>
        <v>1335488679.2625554</v>
      </c>
      <c r="G442" s="38">
        <f t="shared" si="274"/>
        <v>593844200.135227</v>
      </c>
      <c r="H442" s="18">
        <f t="shared" si="281"/>
        <v>0.0025414300059824514</v>
      </c>
      <c r="I442" s="50">
        <f t="shared" si="270"/>
        <v>0.02589884747973975</v>
      </c>
      <c r="J442" s="3">
        <f t="shared" si="282"/>
        <v>8.08201081053736</v>
      </c>
      <c r="K442" s="12">
        <f t="shared" si="291"/>
        <v>0.8249523891793451</v>
      </c>
      <c r="L442" s="3">
        <f t="shared" si="283"/>
        <v>1303.4902291057667</v>
      </c>
      <c r="M442" s="12">
        <f t="shared" si="292"/>
        <v>0.7189841297264484</v>
      </c>
      <c r="N442" s="37">
        <f t="shared" si="284"/>
        <v>43002.90167970327</v>
      </c>
      <c r="O442" s="1">
        <f t="shared" si="275"/>
        <v>262555.07370364404</v>
      </c>
      <c r="P442">
        <f t="shared" si="285"/>
        <v>512.4012819106174</v>
      </c>
      <c r="Q442" s="1">
        <f t="shared" si="286"/>
        <v>22034.741946556194</v>
      </c>
      <c r="R442" s="1">
        <f>+Q442*1000/'Material Properties'!AE$35</f>
        <v>18896695.30036382</v>
      </c>
      <c r="S442" s="1">
        <f t="shared" si="287"/>
        <v>621.6018190909151</v>
      </c>
      <c r="T442" s="1">
        <f t="shared" si="288"/>
        <v>228.17285033303256</v>
      </c>
      <c r="U442">
        <f t="shared" si="276"/>
        <v>3.7446166088775715E-05</v>
      </c>
      <c r="V442">
        <f>+'Material Properties'!AE$31+'Material Properties'!AE$33</f>
        <v>0.00029034311030761144</v>
      </c>
      <c r="W442">
        <f t="shared" si="295"/>
        <v>0.00032778927639638716</v>
      </c>
      <c r="X442" s="1">
        <f>+'Volcano Summary'!E$12*10^9/Q442/3600/24/365</f>
        <v>0</v>
      </c>
      <c r="Y442" s="3">
        <f t="shared" si="296"/>
        <v>400</v>
      </c>
      <c r="Z442" s="1">
        <f>+Y442*'Volcano Summary'!B$19*'Volcano Summary'!B$20/1000</f>
        <v>16200000</v>
      </c>
      <c r="AA442" s="1">
        <f t="shared" si="277"/>
        <v>735202.61954018</v>
      </c>
      <c r="AB442" s="3">
        <f t="shared" si="304"/>
        <v>204.2229498722722</v>
      </c>
      <c r="AC442" s="1">
        <f t="shared" si="297"/>
        <v>50334437.19440943</v>
      </c>
      <c r="AD442" s="36">
        <f t="shared" si="298"/>
        <v>13981.788109558172</v>
      </c>
      <c r="AE442" s="36">
        <f t="shared" si="303"/>
        <v>582.5745045649238</v>
      </c>
      <c r="AG442" s="1">
        <f t="shared" si="278"/>
        <v>16199999999.999998</v>
      </c>
      <c r="AH442" s="1">
        <f t="shared" si="299"/>
        <v>16200000</v>
      </c>
      <c r="AI442" s="1">
        <f t="shared" si="300"/>
        <v>16216199999.999998</v>
      </c>
      <c r="AJ442" s="1">
        <f t="shared" si="301"/>
        <v>696600000000</v>
      </c>
      <c r="AK442" s="1">
        <f t="shared" si="302"/>
        <v>697296600000</v>
      </c>
      <c r="AL442" s="39">
        <f>+AJ442/('Volcano Summary'!C$8)*10^6</f>
        <v>48359.97683249087</v>
      </c>
      <c r="AM442" s="1">
        <f t="shared" si="279"/>
        <v>582.5745045649238</v>
      </c>
    </row>
    <row r="443" spans="1:39" ht="12.75">
      <c r="A443" s="1">
        <f t="shared" si="293"/>
        <v>735202.61954018</v>
      </c>
      <c r="B443" s="1">
        <f t="shared" si="294"/>
        <v>590.9564045839571</v>
      </c>
      <c r="C443" s="1">
        <f t="shared" si="271"/>
        <v>30800</v>
      </c>
      <c r="D443" s="1">
        <f t="shared" si="280"/>
        <v>198.02974013476614</v>
      </c>
      <c r="E443" s="38">
        <f t="shared" si="272"/>
        <v>2090753849.63355</v>
      </c>
      <c r="F443" s="38">
        <f t="shared" si="273"/>
        <v>1344246075.910995</v>
      </c>
      <c r="G443" s="38">
        <f t="shared" si="274"/>
        <v>597738302.1884403</v>
      </c>
      <c r="H443" s="18">
        <f t="shared" si="281"/>
        <v>0.0025248732824662222</v>
      </c>
      <c r="I443" s="50">
        <f t="shared" si="270"/>
        <v>0.025870547872482812</v>
      </c>
      <c r="J443" s="3">
        <f t="shared" si="282"/>
        <v>8.031985512599523</v>
      </c>
      <c r="K443" s="12">
        <f t="shared" si="291"/>
        <v>0.8231514784535829</v>
      </c>
      <c r="L443" s="3">
        <f t="shared" si="283"/>
        <v>1300.6446472693917</v>
      </c>
      <c r="M443" s="12">
        <f t="shared" si="292"/>
        <v>0.7183838261511943</v>
      </c>
      <c r="N443" s="37">
        <f t="shared" si="284"/>
        <v>43568.729333383584</v>
      </c>
      <c r="O443" s="1">
        <f t="shared" si="275"/>
        <v>263613.5948901633</v>
      </c>
      <c r="P443">
        <f t="shared" si="285"/>
        <v>513.4331454923448</v>
      </c>
      <c r="Q443" s="1">
        <f t="shared" si="286"/>
        <v>22369.629746743725</v>
      </c>
      <c r="R443" s="1">
        <f>+Q443*1000/'Material Properties'!AE$35</f>
        <v>19183890.527578264</v>
      </c>
      <c r="S443" s="1">
        <f t="shared" si="287"/>
        <v>622.8535885577359</v>
      </c>
      <c r="T443" s="1">
        <f t="shared" si="288"/>
        <v>230.01708292685294</v>
      </c>
      <c r="U443">
        <f t="shared" si="276"/>
        <v>3.714710012475431E-05</v>
      </c>
      <c r="V443">
        <f>+'Material Properties'!AE$31+'Material Properties'!AE$33</f>
        <v>0.00029034311030761144</v>
      </c>
      <c r="W443">
        <f t="shared" si="295"/>
        <v>0.00032749021043236576</v>
      </c>
      <c r="X443" s="1">
        <f>+'Volcano Summary'!E$12*10^9/Q443/3600/24/365</f>
        <v>0</v>
      </c>
      <c r="Y443" s="3">
        <f t="shared" si="296"/>
        <v>400</v>
      </c>
      <c r="Z443" s="1">
        <f>+Y443*'Volcano Summary'!B$19*'Volcano Summary'!B$20/1000</f>
        <v>16200000</v>
      </c>
      <c r="AA443" s="1">
        <f t="shared" si="277"/>
        <v>724196.1616444805</v>
      </c>
      <c r="AB443" s="3">
        <f t="shared" si="304"/>
        <v>201.16560045680015</v>
      </c>
      <c r="AC443" s="1">
        <f t="shared" si="297"/>
        <v>51058633.35605391</v>
      </c>
      <c r="AD443" s="36">
        <f t="shared" si="298"/>
        <v>14182.953710014972</v>
      </c>
      <c r="AE443" s="36">
        <f t="shared" si="303"/>
        <v>590.9564045839571</v>
      </c>
      <c r="AG443" s="1">
        <f t="shared" si="278"/>
        <v>16200000000</v>
      </c>
      <c r="AH443" s="1">
        <f t="shared" si="299"/>
        <v>16200000</v>
      </c>
      <c r="AI443" s="1">
        <f t="shared" si="300"/>
        <v>16216200000</v>
      </c>
      <c r="AJ443" s="1">
        <f t="shared" si="301"/>
        <v>712800000000</v>
      </c>
      <c r="AK443" s="1">
        <f t="shared" si="302"/>
        <v>713512800000</v>
      </c>
      <c r="AL443" s="39">
        <f>+AJ443/('Volcano Summary'!C$8)*10^6</f>
        <v>49484.62745650229</v>
      </c>
      <c r="AM443" s="1">
        <f t="shared" si="279"/>
        <v>590.9564045839571</v>
      </c>
    </row>
    <row r="444" spans="1:39" ht="12.75">
      <c r="A444" s="1">
        <f t="shared" si="293"/>
        <v>724196.1616444805</v>
      </c>
      <c r="B444" s="1">
        <f t="shared" si="294"/>
        <v>599.2144195476967</v>
      </c>
      <c r="C444" s="1">
        <f t="shared" si="271"/>
        <v>31200</v>
      </c>
      <c r="D444" s="1">
        <f t="shared" si="280"/>
        <v>199.31149940667518</v>
      </c>
      <c r="E444" s="38">
        <f t="shared" si="272"/>
        <v>2104286378.2841637</v>
      </c>
      <c r="F444" s="38">
        <f t="shared" si="273"/>
        <v>1352946788.5936136</v>
      </c>
      <c r="G444" s="38">
        <f t="shared" si="274"/>
        <v>601607198.9030641</v>
      </c>
      <c r="H444" s="18">
        <f t="shared" si="281"/>
        <v>0.002508635986826831</v>
      </c>
      <c r="I444" s="50">
        <f aca="true" t="shared" si="305" ref="I444:I479">+I$377*LN(H$377)/LN(H444)</f>
        <v>0.025842674020219673</v>
      </c>
      <c r="J444" s="3">
        <f t="shared" si="282"/>
        <v>7.9829862042957895</v>
      </c>
      <c r="K444" s="12">
        <f t="shared" si="291"/>
        <v>0.8213875033546486</v>
      </c>
      <c r="L444" s="3">
        <f t="shared" si="283"/>
        <v>1297.8574266539886</v>
      </c>
      <c r="M444" s="12">
        <f t="shared" si="292"/>
        <v>0.7177958344515496</v>
      </c>
      <c r="N444" s="37">
        <f t="shared" si="284"/>
        <v>44134.556987063894</v>
      </c>
      <c r="O444" s="1">
        <f t="shared" si="275"/>
        <v>264663.2675093102</v>
      </c>
      <c r="P444">
        <f t="shared" si="285"/>
        <v>514.4543395767113</v>
      </c>
      <c r="Q444" s="1">
        <f t="shared" si="286"/>
        <v>22705.214367290682</v>
      </c>
      <c r="R444" s="1">
        <f>+Q444*1000/'Material Properties'!AE$35</f>
        <v>19471683.338465035</v>
      </c>
      <c r="S444" s="1">
        <f t="shared" si="287"/>
        <v>624.0924146943921</v>
      </c>
      <c r="T444" s="1">
        <f t="shared" si="288"/>
        <v>231.81355526437983</v>
      </c>
      <c r="U444">
        <f t="shared" si="276"/>
        <v>3.6860336692698755E-05</v>
      </c>
      <c r="V444">
        <f>+'Material Properties'!AE$31+'Material Properties'!AE$33</f>
        <v>0.00029034311030761144</v>
      </c>
      <c r="W444">
        <f t="shared" si="295"/>
        <v>0.0003272034470003102</v>
      </c>
      <c r="X444" s="1">
        <f>+'Volcano Summary'!E$12*10^9/Q444/3600/24/365</f>
        <v>0</v>
      </c>
      <c r="Y444" s="3">
        <f t="shared" si="296"/>
        <v>400</v>
      </c>
      <c r="Z444" s="1">
        <f>+Y444*'Volcano Summary'!B$19*'Volcano Summary'!B$20/1000</f>
        <v>16200000</v>
      </c>
      <c r="AA444" s="1">
        <f t="shared" si="277"/>
        <v>713492.4928670946</v>
      </c>
      <c r="AB444" s="3">
        <f t="shared" si="304"/>
        <v>198.1923591297485</v>
      </c>
      <c r="AC444" s="1">
        <f t="shared" si="297"/>
        <v>51772125.84892101</v>
      </c>
      <c r="AD444" s="36">
        <f t="shared" si="298"/>
        <v>14381.146069144721</v>
      </c>
      <c r="AE444" s="36">
        <f t="shared" si="303"/>
        <v>599.2144195476967</v>
      </c>
      <c r="AG444" s="1">
        <f t="shared" si="278"/>
        <v>16200000000</v>
      </c>
      <c r="AH444" s="1">
        <f t="shared" si="299"/>
        <v>16200000</v>
      </c>
      <c r="AI444" s="1">
        <f t="shared" si="300"/>
        <v>16216200000</v>
      </c>
      <c r="AJ444" s="1">
        <f t="shared" si="301"/>
        <v>729000000000</v>
      </c>
      <c r="AK444" s="1">
        <f t="shared" si="302"/>
        <v>729729000000</v>
      </c>
      <c r="AL444" s="39">
        <f>+AJ444/('Volcano Summary'!C$8)*10^6</f>
        <v>50609.27808051371</v>
      </c>
      <c r="AM444" s="1">
        <f t="shared" si="279"/>
        <v>599.2144195476967</v>
      </c>
    </row>
    <row r="445" spans="1:39" ht="12.75">
      <c r="A445" s="1">
        <f t="shared" si="293"/>
        <v>713492.4928670946</v>
      </c>
      <c r="B445" s="1">
        <f t="shared" si="294"/>
        <v>607.3519149038385</v>
      </c>
      <c r="C445" s="1">
        <f t="shared" si="271"/>
        <v>31600</v>
      </c>
      <c r="D445" s="1">
        <f t="shared" si="280"/>
        <v>200.58506827187097</v>
      </c>
      <c r="E445" s="38">
        <f t="shared" si="272"/>
        <v>2117732434.4465837</v>
      </c>
      <c r="F445" s="38">
        <f t="shared" si="273"/>
        <v>1361591903.9600067</v>
      </c>
      <c r="G445" s="38">
        <f t="shared" si="274"/>
        <v>605451373.4734297</v>
      </c>
      <c r="H445" s="18">
        <f t="shared" si="281"/>
        <v>0.0024927079782544187</v>
      </c>
      <c r="I445" s="50">
        <f t="shared" si="305"/>
        <v>0.025815214117614005</v>
      </c>
      <c r="J445" s="3">
        <f t="shared" si="282"/>
        <v>7.934979019132253</v>
      </c>
      <c r="K445" s="12">
        <f t="shared" si="291"/>
        <v>0.8196592446887613</v>
      </c>
      <c r="L445" s="3">
        <f t="shared" si="283"/>
        <v>1295.126640836649</v>
      </c>
      <c r="M445" s="12">
        <f t="shared" si="292"/>
        <v>0.7172197482295871</v>
      </c>
      <c r="N445" s="37">
        <f t="shared" si="284"/>
        <v>44700.38464074419</v>
      </c>
      <c r="O445" s="1">
        <f t="shared" si="275"/>
        <v>265704.2592779861</v>
      </c>
      <c r="P445">
        <f t="shared" si="285"/>
        <v>515.4650902611991</v>
      </c>
      <c r="Q445" s="1">
        <f t="shared" si="286"/>
        <v>23041.48780355152</v>
      </c>
      <c r="R445" s="1">
        <f>+Q445*1000/'Material Properties'!AE$35</f>
        <v>19760066.868348874</v>
      </c>
      <c r="S445" s="1">
        <f t="shared" si="287"/>
        <v>625.3185717831922</v>
      </c>
      <c r="T445" s="1">
        <f t="shared" si="288"/>
        <v>233.56411663218864</v>
      </c>
      <c r="U445">
        <f t="shared" si="276"/>
        <v>3.658512920105564E-05</v>
      </c>
      <c r="V445">
        <f>+'Material Properties'!AE$31+'Material Properties'!AE$33</f>
        <v>0.00029034311030761144</v>
      </c>
      <c r="W445">
        <f t="shared" si="295"/>
        <v>0.00032692823950866706</v>
      </c>
      <c r="X445" s="1">
        <f>+'Volcano Summary'!E$12*10^9/Q445/3600/24/365</f>
        <v>0</v>
      </c>
      <c r="Y445" s="3">
        <f t="shared" si="296"/>
        <v>400</v>
      </c>
      <c r="Z445" s="1">
        <f>+Y445*'Volcano Summary'!B$19*'Volcano Summary'!B$20/1000</f>
        <v>16200000</v>
      </c>
      <c r="AA445" s="1">
        <f t="shared" si="277"/>
        <v>703079.5987706574</v>
      </c>
      <c r="AB445" s="3">
        <f t="shared" si="304"/>
        <v>195.29988854740483</v>
      </c>
      <c r="AC445" s="1">
        <f t="shared" si="297"/>
        <v>52475205.447691664</v>
      </c>
      <c r="AD445" s="36">
        <f t="shared" si="298"/>
        <v>14576.445957692125</v>
      </c>
      <c r="AE445" s="36">
        <f t="shared" si="303"/>
        <v>607.3519149038385</v>
      </c>
      <c r="AG445" s="1">
        <f t="shared" si="278"/>
        <v>16200000000</v>
      </c>
      <c r="AH445" s="1">
        <f t="shared" si="299"/>
        <v>16200000</v>
      </c>
      <c r="AI445" s="1">
        <f t="shared" si="300"/>
        <v>16216200000</v>
      </c>
      <c r="AJ445" s="1">
        <f t="shared" si="301"/>
        <v>745200000000</v>
      </c>
      <c r="AK445" s="1">
        <f t="shared" si="302"/>
        <v>745945200000</v>
      </c>
      <c r="AL445" s="39">
        <f>+AJ445/('Volcano Summary'!C$8)*10^6</f>
        <v>51733.928704525126</v>
      </c>
      <c r="AM445" s="1">
        <f t="shared" si="279"/>
        <v>607.3519149038385</v>
      </c>
    </row>
    <row r="446" spans="1:39" ht="12.75">
      <c r="A446" s="1">
        <f t="shared" si="293"/>
        <v>703079.5987706574</v>
      </c>
      <c r="B446" s="1">
        <f t="shared" si="294"/>
        <v>615.3721242133872</v>
      </c>
      <c r="C446" s="1">
        <f t="shared" si="271"/>
        <v>32000</v>
      </c>
      <c r="D446" s="1">
        <f t="shared" si="280"/>
        <v>201.8506017616128</v>
      </c>
      <c r="E446" s="38">
        <f t="shared" si="272"/>
        <v>2131093654.9062848</v>
      </c>
      <c r="F446" s="38">
        <f t="shared" si="273"/>
        <v>1370182474.3781755</v>
      </c>
      <c r="G446" s="38">
        <f t="shared" si="274"/>
        <v>609271293.8500667</v>
      </c>
      <c r="H446" s="18">
        <f t="shared" si="281"/>
        <v>0.002477079561003757</v>
      </c>
      <c r="I446" s="50">
        <f t="shared" si="305"/>
        <v>0.025788156831932207</v>
      </c>
      <c r="J446" s="3">
        <f t="shared" si="282"/>
        <v>7.887931620433866</v>
      </c>
      <c r="K446" s="12">
        <f t="shared" si="291"/>
        <v>0.8179655383356194</v>
      </c>
      <c r="L446" s="3">
        <f t="shared" si="283"/>
        <v>1292.4504504149313</v>
      </c>
      <c r="M446" s="12">
        <f t="shared" si="292"/>
        <v>0.7166551794452065</v>
      </c>
      <c r="N446" s="37">
        <f t="shared" si="284"/>
        <v>45266.212294424506</v>
      </c>
      <c r="O446" s="1">
        <f t="shared" si="275"/>
        <v>266736.7327704941</v>
      </c>
      <c r="P446">
        <f t="shared" si="285"/>
        <v>516.4656162519381</v>
      </c>
      <c r="Q446" s="1">
        <f t="shared" si="286"/>
        <v>23378.442228031006</v>
      </c>
      <c r="R446" s="1">
        <f>+Q446*1000/'Material Properties'!AE$35</f>
        <v>20049034.40447622</v>
      </c>
      <c r="S446" s="1">
        <f t="shared" si="287"/>
        <v>626.5323251398819</v>
      </c>
      <c r="T446" s="1">
        <f t="shared" si="288"/>
        <v>235.27052196916839</v>
      </c>
      <c r="U446">
        <f t="shared" si="276"/>
        <v>3.632079028524918E-05</v>
      </c>
      <c r="V446">
        <f>+'Material Properties'!AE$31+'Material Properties'!AE$33</f>
        <v>0.00029034311030761144</v>
      </c>
      <c r="W446">
        <f t="shared" si="295"/>
        <v>0.00032666390059286063</v>
      </c>
      <c r="X446" s="1">
        <f>+'Volcano Summary'!E$12*10^9/Q446/3600/24/365</f>
        <v>0</v>
      </c>
      <c r="Y446" s="3">
        <f t="shared" si="296"/>
        <v>400</v>
      </c>
      <c r="Z446" s="1">
        <f>+Y446*'Volcano Summary'!B$19*'Volcano Summary'!B$20/1000</f>
        <v>16200000</v>
      </c>
      <c r="AA446" s="1">
        <f t="shared" si="277"/>
        <v>692946.084345005</v>
      </c>
      <c r="AB446" s="3">
        <f t="shared" si="304"/>
        <v>192.48502342916805</v>
      </c>
      <c r="AC446" s="1">
        <f t="shared" si="297"/>
        <v>53168151.53203667</v>
      </c>
      <c r="AD446" s="36">
        <f t="shared" si="298"/>
        <v>14768.930981121293</v>
      </c>
      <c r="AE446" s="36">
        <f t="shared" si="303"/>
        <v>615.3721242133872</v>
      </c>
      <c r="AG446" s="1">
        <f t="shared" si="278"/>
        <v>16200000000</v>
      </c>
      <c r="AH446" s="1">
        <f t="shared" si="299"/>
        <v>16200000</v>
      </c>
      <c r="AI446" s="1">
        <f t="shared" si="300"/>
        <v>16216200000</v>
      </c>
      <c r="AJ446" s="1">
        <f t="shared" si="301"/>
        <v>761400000000</v>
      </c>
      <c r="AK446" s="1">
        <f t="shared" si="302"/>
        <v>762161400000</v>
      </c>
      <c r="AL446" s="39">
        <f>+AJ446/('Volcano Summary'!C$8)*10^6</f>
        <v>52858.57932853654</v>
      </c>
      <c r="AM446" s="1">
        <f t="shared" si="279"/>
        <v>615.3721242133872</v>
      </c>
    </row>
    <row r="447" spans="1:39" ht="12.75">
      <c r="A447" s="1">
        <f t="shared" si="293"/>
        <v>692946.084345005</v>
      </c>
      <c r="B447" s="1">
        <f t="shared" si="294"/>
        <v>623.2781558671496</v>
      </c>
      <c r="C447" s="1">
        <f t="shared" si="271"/>
        <v>32400</v>
      </c>
      <c r="D447" s="1">
        <f t="shared" si="280"/>
        <v>203.10825007719225</v>
      </c>
      <c r="E447" s="38">
        <f t="shared" si="272"/>
        <v>2144371625.455019</v>
      </c>
      <c r="F447" s="38">
        <f t="shared" si="273"/>
        <v>1378719519.429809</v>
      </c>
      <c r="G447" s="38">
        <f t="shared" si="274"/>
        <v>613067413.4045993</v>
      </c>
      <c r="H447" s="18">
        <f t="shared" si="281"/>
        <v>0.0024617414595909945</v>
      </c>
      <c r="I447" s="50">
        <f t="shared" si="305"/>
        <v>0.025761491278464072</v>
      </c>
      <c r="J447" s="3">
        <f t="shared" si="282"/>
        <v>7.841813114108683</v>
      </c>
      <c r="K447" s="12">
        <f t="shared" si="291"/>
        <v>0.8163052721079127</v>
      </c>
      <c r="L447" s="3">
        <f t="shared" si="283"/>
        <v>1289.8270980446414</v>
      </c>
      <c r="M447" s="12">
        <f t="shared" si="292"/>
        <v>0.7161017573693043</v>
      </c>
      <c r="N447" s="37">
        <f t="shared" si="284"/>
        <v>45832.039948104815</v>
      </c>
      <c r="O447" s="1">
        <f t="shared" si="275"/>
        <v>267760.84563706716</v>
      </c>
      <c r="P447">
        <f t="shared" si="285"/>
        <v>517.4561291907432</v>
      </c>
      <c r="Q447" s="1">
        <f t="shared" si="286"/>
        <v>23716.06998446183</v>
      </c>
      <c r="R447" s="1">
        <f>+Q447*1000/'Material Properties'!AE$35</f>
        <v>20338579.380936265</v>
      </c>
      <c r="S447" s="1">
        <f t="shared" si="287"/>
        <v>627.7339315103785</v>
      </c>
      <c r="T447" s="1">
        <f t="shared" si="288"/>
        <v>236.934437803151</v>
      </c>
      <c r="U447">
        <f t="shared" si="276"/>
        <v>3.606668604947653E-05</v>
      </c>
      <c r="V447">
        <f>+'Material Properties'!AE$31+'Material Properties'!AE$33</f>
        <v>0.00029034311030761144</v>
      </c>
      <c r="W447">
        <f t="shared" si="295"/>
        <v>0.00032640979635708796</v>
      </c>
      <c r="X447" s="1">
        <f>+'Volcano Summary'!E$12*10^9/Q447/3600/24/365</f>
        <v>0</v>
      </c>
      <c r="Y447" s="3">
        <f t="shared" si="296"/>
        <v>400</v>
      </c>
      <c r="Z447" s="1">
        <f>+Y447*'Volcano Summary'!B$19*'Volcano Summary'!B$20/1000</f>
        <v>16200000</v>
      </c>
      <c r="AA447" s="1">
        <f t="shared" si="277"/>
        <v>683081.1348850729</v>
      </c>
      <c r="AB447" s="3">
        <f t="shared" si="304"/>
        <v>189.74475969029803</v>
      </c>
      <c r="AC447" s="1">
        <f t="shared" si="297"/>
        <v>53851232.66692174</v>
      </c>
      <c r="AD447" s="36">
        <f t="shared" si="298"/>
        <v>14958.675740811592</v>
      </c>
      <c r="AE447" s="36">
        <f t="shared" si="303"/>
        <v>623.2781558671496</v>
      </c>
      <c r="AG447" s="1">
        <f t="shared" si="278"/>
        <v>16200000000</v>
      </c>
      <c r="AH447" s="1">
        <f t="shared" si="299"/>
        <v>16200000</v>
      </c>
      <c r="AI447" s="1">
        <f t="shared" si="300"/>
        <v>16216200000</v>
      </c>
      <c r="AJ447" s="1">
        <f t="shared" si="301"/>
        <v>777600000000</v>
      </c>
      <c r="AK447" s="1">
        <f t="shared" si="302"/>
        <v>778377600000</v>
      </c>
      <c r="AL447" s="39">
        <f>+AJ447/('Volcano Summary'!C$8)*10^6</f>
        <v>53983.22995254796</v>
      </c>
      <c r="AM447" s="1">
        <f t="shared" si="279"/>
        <v>623.2781558671496</v>
      </c>
    </row>
    <row r="448" spans="1:39" ht="12.75">
      <c r="A448" s="1">
        <f t="shared" si="293"/>
        <v>683081.1348850729</v>
      </c>
      <c r="B448" s="1">
        <f t="shared" si="294"/>
        <v>631.0729993831575</v>
      </c>
      <c r="C448" s="1">
        <f t="shared" si="271"/>
        <v>32800</v>
      </c>
      <c r="D448" s="1">
        <f t="shared" si="280"/>
        <v>204.35815879801163</v>
      </c>
      <c r="E448" s="38">
        <f t="shared" si="272"/>
        <v>2157567883.0876613</v>
      </c>
      <c r="F448" s="38">
        <f t="shared" si="273"/>
        <v>1387204027.3227394</v>
      </c>
      <c r="G448" s="38">
        <f t="shared" si="274"/>
        <v>616840171.5578175</v>
      </c>
      <c r="H448" s="18">
        <f t="shared" si="281"/>
        <v>0.0024466847956591833</v>
      </c>
      <c r="I448" s="50">
        <f t="shared" si="305"/>
        <v>0.025735206997508555</v>
      </c>
      <c r="J448" s="3">
        <f t="shared" si="282"/>
        <v>7.7965939673946</v>
      </c>
      <c r="K448" s="12">
        <f t="shared" si="291"/>
        <v>0.8146773828262057</v>
      </c>
      <c r="L448" s="3">
        <f t="shared" si="283"/>
        <v>1287.2549038179152</v>
      </c>
      <c r="M448" s="12">
        <f t="shared" si="292"/>
        <v>0.7155591276087353</v>
      </c>
      <c r="N448" s="37">
        <f t="shared" si="284"/>
        <v>46397.867601785125</v>
      </c>
      <c r="O448" s="1">
        <f t="shared" si="275"/>
        <v>268776.7508105578</v>
      </c>
      <c r="P448">
        <f t="shared" si="285"/>
        <v>518.4368339639437</v>
      </c>
      <c r="Q448" s="1">
        <f t="shared" si="286"/>
        <v>24054.363582147722</v>
      </c>
      <c r="R448" s="1">
        <f>+Q448*1000/'Material Properties'!AE$35</f>
        <v>20628695.373809658</v>
      </c>
      <c r="S448" s="1">
        <f t="shared" si="287"/>
        <v>628.9236394454164</v>
      </c>
      <c r="T448" s="1">
        <f t="shared" si="288"/>
        <v>238.55744774533696</v>
      </c>
      <c r="U448">
        <f t="shared" si="276"/>
        <v>3.582223096741012E-05</v>
      </c>
      <c r="V448">
        <f>+'Material Properties'!AE$31+'Material Properties'!AE$33</f>
        <v>0.00029034311030761144</v>
      </c>
      <c r="W448">
        <f t="shared" si="295"/>
        <v>0.00032616534127502154</v>
      </c>
      <c r="X448" s="1">
        <f>+'Volcano Summary'!E$12*10^9/Q448/3600/24/365</f>
        <v>0</v>
      </c>
      <c r="Y448" s="3">
        <f t="shared" si="296"/>
        <v>400</v>
      </c>
      <c r="Z448" s="1">
        <f>+Y448*'Volcano Summary'!B$19*'Volcano Summary'!B$20/1000</f>
        <v>16200000</v>
      </c>
      <c r="AA448" s="1">
        <f t="shared" si="277"/>
        <v>673474.4797830799</v>
      </c>
      <c r="AB448" s="3">
        <f t="shared" si="304"/>
        <v>187.07624438418887</v>
      </c>
      <c r="AC448" s="1">
        <f t="shared" si="297"/>
        <v>54524707.14670482</v>
      </c>
      <c r="AD448" s="36">
        <f t="shared" si="298"/>
        <v>15145.75198519578</v>
      </c>
      <c r="AE448" s="36">
        <f t="shared" si="303"/>
        <v>631.0729993831575</v>
      </c>
      <c r="AG448" s="1">
        <f t="shared" si="278"/>
        <v>16200000000</v>
      </c>
      <c r="AH448" s="1">
        <f t="shared" si="299"/>
        <v>16200000</v>
      </c>
      <c r="AI448" s="1">
        <f t="shared" si="300"/>
        <v>16216200000</v>
      </c>
      <c r="AJ448" s="1">
        <f t="shared" si="301"/>
        <v>793800000000</v>
      </c>
      <c r="AK448" s="1">
        <f t="shared" si="302"/>
        <v>794593800000</v>
      </c>
      <c r="AL448" s="39">
        <f>+AJ448/('Volcano Summary'!C$8)*10^6</f>
        <v>55107.880576559364</v>
      </c>
      <c r="AM448" s="1">
        <f t="shared" si="279"/>
        <v>631.0729993831575</v>
      </c>
    </row>
    <row r="449" spans="1:39" ht="12.75">
      <c r="A449" s="1">
        <f t="shared" si="293"/>
        <v>673474.4797830799</v>
      </c>
      <c r="B449" s="1">
        <f t="shared" si="294"/>
        <v>638.7595313158616</v>
      </c>
      <c r="C449" s="1">
        <f t="shared" si="271"/>
        <v>33200</v>
      </c>
      <c r="D449" s="1">
        <f t="shared" si="280"/>
        <v>205.6004690782767</v>
      </c>
      <c r="E449" s="38">
        <f t="shared" si="272"/>
        <v>2170683918.07885</v>
      </c>
      <c r="F449" s="38">
        <f t="shared" si="273"/>
        <v>1395636956.2261138</v>
      </c>
      <c r="G449" s="38">
        <f t="shared" si="274"/>
        <v>620589994.373378</v>
      </c>
      <c r="H449" s="18">
        <f t="shared" si="281"/>
        <v>0.002431901066381511</v>
      </c>
      <c r="I449" s="50">
        <f t="shared" si="305"/>
        <v>0.02570929393280725</v>
      </c>
      <c r="J449" s="3">
        <f t="shared" si="282"/>
        <v>7.7522459331109665</v>
      </c>
      <c r="K449" s="12">
        <f t="shared" si="291"/>
        <v>0.813080853591995</v>
      </c>
      <c r="L449" s="3">
        <f t="shared" si="283"/>
        <v>1284.7322609544335</v>
      </c>
      <c r="M449" s="12">
        <f t="shared" si="292"/>
        <v>0.7150269511973317</v>
      </c>
      <c r="N449" s="37">
        <f t="shared" si="284"/>
        <v>46963.69525546543</v>
      </c>
      <c r="O449" s="1">
        <f t="shared" si="275"/>
        <v>269784.5967020672</v>
      </c>
      <c r="P449">
        <f t="shared" si="285"/>
        <v>519.4079289942224</v>
      </c>
      <c r="Q449" s="1">
        <f t="shared" si="286"/>
        <v>24393.315690557087</v>
      </c>
      <c r="R449" s="1">
        <f>+Q449*1000/'Material Properties'!AE$35</f>
        <v>20919376.09653211</v>
      </c>
      <c r="S449" s="1">
        <f t="shared" si="287"/>
        <v>630.1016896545816</v>
      </c>
      <c r="T449" s="1">
        <f t="shared" si="288"/>
        <v>240.1410575804291</v>
      </c>
      <c r="U449">
        <f t="shared" si="276"/>
        <v>3.5586883355495476E-05</v>
      </c>
      <c r="V449">
        <f>+'Material Properties'!AE$31+'Material Properties'!AE$33</f>
        <v>0.00029034311030761144</v>
      </c>
      <c r="W449">
        <f t="shared" si="295"/>
        <v>0.0003259299936631069</v>
      </c>
      <c r="X449" s="1">
        <f>+'Volcano Summary'!E$12*10^9/Q449/3600/24/365</f>
        <v>0</v>
      </c>
      <c r="Y449" s="3">
        <f t="shared" si="296"/>
        <v>400</v>
      </c>
      <c r="Z449" s="1">
        <f>+Y449*'Volcano Summary'!B$19*'Volcano Summary'!B$20/1000</f>
        <v>16200000</v>
      </c>
      <c r="AA449" s="1">
        <f t="shared" si="277"/>
        <v>664116.3589856377</v>
      </c>
      <c r="AB449" s="3">
        <f t="shared" si="304"/>
        <v>184.47676638489935</v>
      </c>
      <c r="AC449" s="1">
        <f t="shared" si="297"/>
        <v>55188823.50569046</v>
      </c>
      <c r="AD449" s="36">
        <f t="shared" si="298"/>
        <v>15330.22875158068</v>
      </c>
      <c r="AE449" s="36">
        <f t="shared" si="303"/>
        <v>638.7595313158616</v>
      </c>
      <c r="AG449" s="1">
        <f t="shared" si="278"/>
        <v>16199999999.999998</v>
      </c>
      <c r="AH449" s="1">
        <f t="shared" si="299"/>
        <v>16200000</v>
      </c>
      <c r="AI449" s="1">
        <f t="shared" si="300"/>
        <v>16216199999.999998</v>
      </c>
      <c r="AJ449" s="1">
        <f t="shared" si="301"/>
        <v>810000000000</v>
      </c>
      <c r="AK449" s="1">
        <f t="shared" si="302"/>
        <v>810810000000</v>
      </c>
      <c r="AL449" s="39">
        <f>+AJ449/('Volcano Summary'!C$8)*10^6</f>
        <v>56232.53120057078</v>
      </c>
      <c r="AM449" s="1">
        <f t="shared" si="279"/>
        <v>638.7595313158616</v>
      </c>
    </row>
    <row r="450" spans="1:39" ht="12.75">
      <c r="A450" s="1">
        <f t="shared" si="293"/>
        <v>664116.3589856377</v>
      </c>
      <c r="B450" s="1">
        <f t="shared" si="294"/>
        <v>646.3405208053346</v>
      </c>
      <c r="C450" s="1">
        <f t="shared" si="271"/>
        <v>33600</v>
      </c>
      <c r="D450" s="1">
        <f t="shared" si="280"/>
        <v>206.83531783305642</v>
      </c>
      <c r="E450" s="38">
        <f t="shared" si="272"/>
        <v>2183721175.947359</v>
      </c>
      <c r="F450" s="38">
        <f t="shared" si="273"/>
        <v>1404019235.5333862</v>
      </c>
      <c r="G450" s="38">
        <f t="shared" si="274"/>
        <v>624317295.1194136</v>
      </c>
      <c r="H450" s="18">
        <f t="shared" si="281"/>
        <v>0.002417382124282887</v>
      </c>
      <c r="I450" s="50">
        <f t="shared" si="305"/>
        <v>0.025683742411318176</v>
      </c>
      <c r="J450" s="3">
        <f t="shared" si="282"/>
        <v>7.70874197898068</v>
      </c>
      <c r="K450" s="12">
        <f t="shared" si="291"/>
        <v>0.8115147112433047</v>
      </c>
      <c r="L450" s="3">
        <f t="shared" si="283"/>
        <v>1282.257631781061</v>
      </c>
      <c r="M450" s="12">
        <f t="shared" si="292"/>
        <v>0.7145049037477682</v>
      </c>
      <c r="N450" s="37">
        <f t="shared" si="284"/>
        <v>47529.52290914573</v>
      </c>
      <c r="O450" s="1">
        <f t="shared" si="275"/>
        <v>270784.52738623007</v>
      </c>
      <c r="P450">
        <f t="shared" si="285"/>
        <v>520.3696065165894</v>
      </c>
      <c r="Q450" s="1">
        <f t="shared" si="286"/>
        <v>24732.919134153388</v>
      </c>
      <c r="R450" s="1">
        <f>+Q450*1000/'Material Properties'!AE$35</f>
        <v>21210615.395460982</v>
      </c>
      <c r="S450" s="1">
        <f t="shared" si="287"/>
        <v>631.2683153411007</v>
      </c>
      <c r="T450" s="1">
        <f t="shared" si="288"/>
        <v>241.68669998672954</v>
      </c>
      <c r="U450">
        <f t="shared" si="276"/>
        <v>3.5360141345214904E-05</v>
      </c>
      <c r="V450">
        <f>+'Material Properties'!AE$31+'Material Properties'!AE$33</f>
        <v>0.00029034311030761144</v>
      </c>
      <c r="W450">
        <f t="shared" si="295"/>
        <v>0.00032570325165282634</v>
      </c>
      <c r="X450" s="1">
        <f>+'Volcano Summary'!E$12*10^9/Q450/3600/24/365</f>
        <v>0</v>
      </c>
      <c r="Y450" s="3">
        <f t="shared" si="296"/>
        <v>400</v>
      </c>
      <c r="Z450" s="1">
        <f>+Y450*'Volcano Summary'!B$19*'Volcano Summary'!B$20/1000</f>
        <v>16200000</v>
      </c>
      <c r="AA450" s="1">
        <f t="shared" si="277"/>
        <v>654997.4918904585</v>
      </c>
      <c r="AB450" s="3">
        <f t="shared" si="304"/>
        <v>181.9437477473496</v>
      </c>
      <c r="AC450" s="1">
        <f t="shared" si="297"/>
        <v>55843820.99758092</v>
      </c>
      <c r="AD450" s="36">
        <f t="shared" si="298"/>
        <v>15512.17249932803</v>
      </c>
      <c r="AE450" s="36">
        <f t="shared" si="303"/>
        <v>646.3405208053346</v>
      </c>
      <c r="AG450" s="1">
        <f t="shared" si="278"/>
        <v>16200000000</v>
      </c>
      <c r="AH450" s="1">
        <f t="shared" si="299"/>
        <v>16200000</v>
      </c>
      <c r="AI450" s="1">
        <f t="shared" si="300"/>
        <v>16216200000</v>
      </c>
      <c r="AJ450" s="1">
        <f t="shared" si="301"/>
        <v>826200000000</v>
      </c>
      <c r="AK450" s="1">
        <f t="shared" si="302"/>
        <v>827026200000</v>
      </c>
      <c r="AL450" s="39">
        <f>+AJ450/('Volcano Summary'!C$8)*10^6</f>
        <v>57357.1818245822</v>
      </c>
      <c r="AM450" s="1">
        <f t="shared" si="279"/>
        <v>646.3405208053346</v>
      </c>
    </row>
    <row r="451" spans="1:39" ht="12.75">
      <c r="A451" s="1">
        <f t="shared" si="293"/>
        <v>654997.4918904585</v>
      </c>
      <c r="B451" s="1">
        <f t="shared" si="294"/>
        <v>653.8186347923578</v>
      </c>
      <c r="C451" s="1">
        <f t="shared" si="271"/>
        <v>34000</v>
      </c>
      <c r="D451" s="1">
        <f t="shared" si="280"/>
        <v>208.06283791440396</v>
      </c>
      <c r="E451" s="38">
        <f t="shared" si="272"/>
        <v>2196681059.3155513</v>
      </c>
      <c r="F451" s="38">
        <f t="shared" si="273"/>
        <v>1412351767.0578456</v>
      </c>
      <c r="G451" s="38">
        <f t="shared" si="274"/>
        <v>628022474.8001401</v>
      </c>
      <c r="H451" s="18">
        <f t="shared" si="281"/>
        <v>0.0024031201583710857</v>
      </c>
      <c r="I451" s="50">
        <f t="shared" si="305"/>
        <v>0.025658543124231666</v>
      </c>
      <c r="J451" s="3">
        <f t="shared" si="282"/>
        <v>7.6660562216274934</v>
      </c>
      <c r="K451" s="12">
        <f t="shared" si="291"/>
        <v>0.8099780239785899</v>
      </c>
      <c r="L451" s="3">
        <f t="shared" si="283"/>
        <v>1279.8295439774247</v>
      </c>
      <c r="M451" s="12">
        <f t="shared" si="292"/>
        <v>0.71399267465953</v>
      </c>
      <c r="N451" s="37">
        <f t="shared" si="284"/>
        <v>48095.35056282605</v>
      </c>
      <c r="O451" s="1">
        <f t="shared" si="275"/>
        <v>271776.682776819</v>
      </c>
      <c r="P451">
        <f t="shared" si="285"/>
        <v>521.3220528395274</v>
      </c>
      <c r="Q451" s="1">
        <f t="shared" si="286"/>
        <v>25073.166887449195</v>
      </c>
      <c r="R451" s="1">
        <f>+Q451*1000/'Material Properties'!AE$35</f>
        <v>21502407.245633706</v>
      </c>
      <c r="S451" s="1">
        <f t="shared" si="287"/>
        <v>632.4237425186384</v>
      </c>
      <c r="T451" s="1">
        <f t="shared" si="288"/>
        <v>243.1957389171705</v>
      </c>
      <c r="U451">
        <f t="shared" si="276"/>
        <v>3.514153929131371E-05</v>
      </c>
      <c r="V451">
        <f>+'Material Properties'!AE$31+'Material Properties'!AE$33</f>
        <v>0.00029034311030761144</v>
      </c>
      <c r="W451">
        <f t="shared" si="295"/>
        <v>0.0003254846495989251</v>
      </c>
      <c r="X451" s="1">
        <f>+'Volcano Summary'!E$12*10^9/Q451/3600/24/365</f>
        <v>0</v>
      </c>
      <c r="Y451" s="3">
        <f t="shared" si="296"/>
        <v>400</v>
      </c>
      <c r="Z451" s="1">
        <f>+Y451*'Volcano Summary'!B$19*'Volcano Summary'!B$20/1000</f>
        <v>16200000</v>
      </c>
      <c r="AA451" s="1">
        <f t="shared" si="277"/>
        <v>646109.0484788017</v>
      </c>
      <c r="AB451" s="3">
        <f t="shared" si="304"/>
        <v>179.47473568855602</v>
      </c>
      <c r="AC451" s="1">
        <f t="shared" si="297"/>
        <v>56489930.04605973</v>
      </c>
      <c r="AD451" s="36">
        <f t="shared" si="298"/>
        <v>15691.647235016586</v>
      </c>
      <c r="AE451" s="36">
        <f t="shared" si="303"/>
        <v>653.8186347923578</v>
      </c>
      <c r="AG451" s="1">
        <f t="shared" si="278"/>
        <v>16199999999.999998</v>
      </c>
      <c r="AH451" s="1">
        <f t="shared" si="299"/>
        <v>16200000</v>
      </c>
      <c r="AI451" s="1">
        <f t="shared" si="300"/>
        <v>16216199999.999998</v>
      </c>
      <c r="AJ451" s="1">
        <f t="shared" si="301"/>
        <v>842400000000</v>
      </c>
      <c r="AK451" s="1">
        <f t="shared" si="302"/>
        <v>843242400000</v>
      </c>
      <c r="AL451" s="39">
        <f>+AJ451/('Volcano Summary'!C$8)*10^6</f>
        <v>58481.83244859362</v>
      </c>
      <c r="AM451" s="1">
        <f t="shared" si="279"/>
        <v>653.8186347923578</v>
      </c>
    </row>
    <row r="452" spans="1:39" ht="12.75">
      <c r="A452" s="1">
        <f t="shared" si="293"/>
        <v>646109.0484788017</v>
      </c>
      <c r="B452" s="1">
        <f t="shared" si="294"/>
        <v>661.1964429231331</v>
      </c>
      <c r="C452" s="1">
        <f t="shared" si="271"/>
        <v>34400</v>
      </c>
      <c r="D452" s="1">
        <f t="shared" si="280"/>
        <v>209.28315827817966</v>
      </c>
      <c r="E452" s="38">
        <f t="shared" si="272"/>
        <v>2209564929.67065</v>
      </c>
      <c r="F452" s="38">
        <f t="shared" si="273"/>
        <v>1420635426.165025</v>
      </c>
      <c r="G452" s="38">
        <f t="shared" si="274"/>
        <v>631705922.6594003</v>
      </c>
      <c r="H452" s="18">
        <f t="shared" si="281"/>
        <v>0.0023891076764781943</v>
      </c>
      <c r="I452" s="50">
        <f t="shared" si="305"/>
        <v>0.02563368710913844</v>
      </c>
      <c r="J452" s="3">
        <f t="shared" si="282"/>
        <v>7.624163864888279</v>
      </c>
      <c r="K452" s="12">
        <f t="shared" si="291"/>
        <v>0.8084698991359782</v>
      </c>
      <c r="L452" s="3">
        <f t="shared" si="283"/>
        <v>1277.4465870669399</v>
      </c>
      <c r="M452" s="12">
        <f t="shared" si="292"/>
        <v>0.7134899663786595</v>
      </c>
      <c r="N452" s="37">
        <f t="shared" si="284"/>
        <v>48661.17821650634</v>
      </c>
      <c r="O452" s="1">
        <f t="shared" si="275"/>
        <v>272761.19879327924</v>
      </c>
      <c r="P452">
        <f t="shared" si="285"/>
        <v>522.2654485922644</v>
      </c>
      <c r="Q452" s="1">
        <f t="shared" si="286"/>
        <v>25414.05207027181</v>
      </c>
      <c r="R452" s="1">
        <f>+Q452*1000/'Material Properties'!AE$35</f>
        <v>21794745.746707667</v>
      </c>
      <c r="S452" s="1">
        <f t="shared" si="287"/>
        <v>633.5681903112694</v>
      </c>
      <c r="T452" s="1">
        <f t="shared" si="288"/>
        <v>244.6694736693314</v>
      </c>
      <c r="U452">
        <f t="shared" si="276"/>
        <v>3.493064456191516E-05</v>
      </c>
      <c r="V452">
        <f>+'Material Properties'!AE$31+'Material Properties'!AE$33</f>
        <v>0.00029034311030761144</v>
      </c>
      <c r="W452">
        <f t="shared" si="295"/>
        <v>0.0003252737548695266</v>
      </c>
      <c r="X452" s="1">
        <f>+'Volcano Summary'!E$12*10^9/Q452/3600/24/365</f>
        <v>0</v>
      </c>
      <c r="Y452" s="3">
        <f t="shared" si="296"/>
        <v>400</v>
      </c>
      <c r="Z452" s="1">
        <f>+Y452*'Volcano Summary'!B$19*'Volcano Summary'!B$20/1000</f>
        <v>16200000</v>
      </c>
      <c r="AA452" s="1">
        <f t="shared" si="277"/>
        <v>637442.622498992</v>
      </c>
      <c r="AB452" s="3">
        <f t="shared" si="304"/>
        <v>177.0673951386089</v>
      </c>
      <c r="AC452" s="1">
        <f t="shared" si="297"/>
        <v>57127372.66855872</v>
      </c>
      <c r="AD452" s="36">
        <f t="shared" si="298"/>
        <v>15868.714630155195</v>
      </c>
      <c r="AE452" s="36">
        <f t="shared" si="303"/>
        <v>661.1964429231331</v>
      </c>
      <c r="AG452" s="1">
        <f t="shared" si="278"/>
        <v>16200000000</v>
      </c>
      <c r="AH452" s="1">
        <f t="shared" si="299"/>
        <v>16200000</v>
      </c>
      <c r="AI452" s="1">
        <f t="shared" si="300"/>
        <v>16216200000</v>
      </c>
      <c r="AJ452" s="1">
        <f t="shared" si="301"/>
        <v>858600000000</v>
      </c>
      <c r="AK452" s="1">
        <f t="shared" si="302"/>
        <v>859458600000</v>
      </c>
      <c r="AL452" s="39">
        <f>+AJ452/('Volcano Summary'!C$8)*10^6</f>
        <v>59606.483072605035</v>
      </c>
      <c r="AM452" s="1">
        <f t="shared" si="279"/>
        <v>661.1964429231331</v>
      </c>
    </row>
    <row r="453" spans="1:39" ht="12.75">
      <c r="A453" s="1">
        <f t="shared" si="293"/>
        <v>637442.622498992</v>
      </c>
      <c r="B453" s="1">
        <f t="shared" si="294"/>
        <v>668.4764221654193</v>
      </c>
      <c r="C453" s="1">
        <f aca="true" t="shared" si="306" ref="C453:C516">+C282*10</f>
        <v>34800</v>
      </c>
      <c r="D453" s="1">
        <f t="shared" si="280"/>
        <v>210.49640414216975</v>
      </c>
      <c r="E453" s="38">
        <f t="shared" si="272"/>
        <v>2222374109.0341287</v>
      </c>
      <c r="F453" s="38">
        <f t="shared" si="273"/>
        <v>1428871062.846031</v>
      </c>
      <c r="G453" s="38">
        <f t="shared" si="274"/>
        <v>635368016.6579335</v>
      </c>
      <c r="H453" s="18">
        <f t="shared" si="281"/>
        <v>0.0023753374887216547</v>
      </c>
      <c r="I453" s="50">
        <f t="shared" si="305"/>
        <v>0.025609165733267342</v>
      </c>
      <c r="J453" s="3">
        <f t="shared" si="282"/>
        <v>7.58304114211159</v>
      </c>
      <c r="K453" s="12">
        <f t="shared" si="291"/>
        <v>0.8069894811160174</v>
      </c>
      <c r="L453" s="3">
        <f t="shared" si="283"/>
        <v>1275.1074091345859</v>
      </c>
      <c r="M453" s="12">
        <f t="shared" si="292"/>
        <v>0.7129964937053391</v>
      </c>
      <c r="N453" s="37">
        <f t="shared" si="284"/>
        <v>49227.00587018665</v>
      </c>
      <c r="O453" s="1">
        <f t="shared" si="275"/>
        <v>273738.2075187637</v>
      </c>
      <c r="P453">
        <f t="shared" si="285"/>
        <v>523.1999689590623</v>
      </c>
      <c r="Q453" s="1">
        <f t="shared" si="286"/>
        <v>25755.56794322923</v>
      </c>
      <c r="R453" s="1">
        <f>+Q453*1000/'Material Properties'!AE$35</f>
        <v>22087625.119071852</v>
      </c>
      <c r="S453" s="1">
        <f t="shared" si="287"/>
        <v>634.7018712376969</v>
      </c>
      <c r="T453" s="1">
        <f t="shared" si="288"/>
        <v>246.10914266987697</v>
      </c>
      <c r="U453">
        <f t="shared" si="276"/>
        <v>3.4727054663981405E-05</v>
      </c>
      <c r="V453">
        <f>+'Material Properties'!AE$31+'Material Properties'!AE$33</f>
        <v>0.00029034311030761144</v>
      </c>
      <c r="W453">
        <f t="shared" si="295"/>
        <v>0.00032507016497159287</v>
      </c>
      <c r="X453" s="1">
        <f>+'Volcano Summary'!E$12*10^9/Q453/3600/24/365</f>
        <v>0</v>
      </c>
      <c r="Y453" s="3">
        <f t="shared" si="296"/>
        <v>400</v>
      </c>
      <c r="Z453" s="1">
        <f>+Y453*'Volcano Summary'!B$19*'Volcano Summary'!B$20/1000</f>
        <v>16200000</v>
      </c>
      <c r="AA453" s="1">
        <f t="shared" si="277"/>
        <v>628990.2065335254</v>
      </c>
      <c r="AB453" s="3">
        <f t="shared" si="304"/>
        <v>174.71950181486815</v>
      </c>
      <c r="AC453" s="1">
        <f t="shared" si="297"/>
        <v>57756362.875092246</v>
      </c>
      <c r="AD453" s="36">
        <f t="shared" si="298"/>
        <v>16043.434131970063</v>
      </c>
      <c r="AE453" s="36">
        <f t="shared" si="303"/>
        <v>668.4764221654193</v>
      </c>
      <c r="AG453" s="1">
        <f t="shared" si="278"/>
        <v>16200000000</v>
      </c>
      <c r="AH453" s="1">
        <f t="shared" si="299"/>
        <v>16200000</v>
      </c>
      <c r="AI453" s="1">
        <f t="shared" si="300"/>
        <v>16216200000</v>
      </c>
      <c r="AJ453" s="1">
        <f t="shared" si="301"/>
        <v>874800000000</v>
      </c>
      <c r="AK453" s="1">
        <f t="shared" si="302"/>
        <v>875674800000</v>
      </c>
      <c r="AL453" s="39">
        <f>+AJ453/('Volcano Summary'!C$8)*10^6</f>
        <v>60731.13369661645</v>
      </c>
      <c r="AM453" s="1">
        <f t="shared" si="279"/>
        <v>668.4764221654193</v>
      </c>
    </row>
    <row r="454" spans="1:39" ht="12.75">
      <c r="A454" s="1">
        <f t="shared" si="293"/>
        <v>628990.2065335254</v>
      </c>
      <c r="B454" s="1">
        <f t="shared" si="294"/>
        <v>675.6609611561335</v>
      </c>
      <c r="C454" s="1">
        <f t="shared" si="306"/>
        <v>35200</v>
      </c>
      <c r="D454" s="1">
        <f t="shared" si="280"/>
        <v>211.7026971360491</v>
      </c>
      <c r="E454" s="38">
        <f t="shared" si="272"/>
        <v>2235109881.544979</v>
      </c>
      <c r="F454" s="38">
        <f t="shared" si="273"/>
        <v>1437059502.7355025</v>
      </c>
      <c r="G454" s="38">
        <f t="shared" si="274"/>
        <v>639009123.9260263</v>
      </c>
      <c r="H454" s="18">
        <f t="shared" si="281"/>
        <v>0.002361802692001977</v>
      </c>
      <c r="I454" s="50">
        <f t="shared" si="305"/>
        <v>0.025584970677717117</v>
      </c>
      <c r="J454" s="3">
        <f t="shared" si="282"/>
        <v>7.542665262142393</v>
      </c>
      <c r="K454" s="12">
        <f t="shared" si="291"/>
        <v>0.8055359494371264</v>
      </c>
      <c r="L454" s="3">
        <f t="shared" si="283"/>
        <v>1272.8107137543652</v>
      </c>
      <c r="M454" s="12">
        <f t="shared" si="292"/>
        <v>0.7125119831457087</v>
      </c>
      <c r="N454" s="37">
        <f t="shared" si="284"/>
        <v>49792.83352386697</v>
      </c>
      <c r="O454" s="1">
        <f t="shared" si="275"/>
        <v>274707.8373501926</v>
      </c>
      <c r="P454">
        <f t="shared" si="285"/>
        <v>524.1257839013385</v>
      </c>
      <c r="Q454" s="1">
        <f t="shared" si="286"/>
        <v>26097.707903365623</v>
      </c>
      <c r="R454" s="1">
        <f>+Q454*1000/'Material Properties'!AE$35</f>
        <v>22381039.700121053</v>
      </c>
      <c r="S454" s="1">
        <f t="shared" si="287"/>
        <v>635.8249914807117</v>
      </c>
      <c r="T454" s="1">
        <f t="shared" si="288"/>
        <v>247.5159269964961</v>
      </c>
      <c r="U454">
        <f t="shared" si="276"/>
        <v>3.453039466394999E-05</v>
      </c>
      <c r="V454">
        <f>+'Material Properties'!AE$31+'Material Properties'!AE$33</f>
        <v>0.00029034311030761144</v>
      </c>
      <c r="W454">
        <f t="shared" si="295"/>
        <v>0.0003248735049715614</v>
      </c>
      <c r="X454" s="1">
        <f>+'Volcano Summary'!E$12*10^9/Q454/3600/24/365</f>
        <v>0</v>
      </c>
      <c r="Y454" s="3">
        <f t="shared" si="296"/>
        <v>400</v>
      </c>
      <c r="Z454" s="1">
        <f>+Y454*'Volcano Summary'!B$19*'Volcano Summary'!B$20/1000</f>
        <v>16200000</v>
      </c>
      <c r="AA454" s="1">
        <f t="shared" si="277"/>
        <v>620744.1687977053</v>
      </c>
      <c r="AB454" s="3">
        <f t="shared" si="304"/>
        <v>172.42893577714037</v>
      </c>
      <c r="AC454" s="1">
        <f t="shared" si="297"/>
        <v>58377107.043889955</v>
      </c>
      <c r="AD454" s="36">
        <f t="shared" si="298"/>
        <v>16215.863067747203</v>
      </c>
      <c r="AE454" s="36">
        <f t="shared" si="303"/>
        <v>675.6609611561335</v>
      </c>
      <c r="AG454" s="1">
        <f t="shared" si="278"/>
        <v>16199999999.999998</v>
      </c>
      <c r="AH454" s="1">
        <f t="shared" si="299"/>
        <v>16200000</v>
      </c>
      <c r="AI454" s="1">
        <f t="shared" si="300"/>
        <v>16216199999.999998</v>
      </c>
      <c r="AJ454" s="1">
        <f t="shared" si="301"/>
        <v>891000000000</v>
      </c>
      <c r="AK454" s="1">
        <f t="shared" si="302"/>
        <v>891891000000</v>
      </c>
      <c r="AL454" s="39">
        <f>+AJ454/('Volcano Summary'!C$8)*10^6</f>
        <v>61855.78432062787</v>
      </c>
      <c r="AM454" s="1">
        <f t="shared" si="279"/>
        <v>675.6609611561335</v>
      </c>
    </row>
    <row r="455" spans="1:39" ht="12.75">
      <c r="A455" s="1">
        <f t="shared" si="293"/>
        <v>620744.1687977053</v>
      </c>
      <c r="B455" s="1">
        <f t="shared" si="294"/>
        <v>682.7523642988599</v>
      </c>
      <c r="C455" s="1">
        <f t="shared" si="306"/>
        <v>35600</v>
      </c>
      <c r="D455" s="1">
        <f t="shared" si="280"/>
        <v>212.90215544369622</v>
      </c>
      <c r="E455" s="38">
        <f t="shared" si="272"/>
        <v>2247773494.9622445</v>
      </c>
      <c r="F455" s="38">
        <f t="shared" si="273"/>
        <v>1445201548.077663</v>
      </c>
      <c r="G455" s="38">
        <f t="shared" si="274"/>
        <v>642629601.1930817</v>
      </c>
      <c r="H455" s="18">
        <f t="shared" si="281"/>
        <v>0.002348496655461195</v>
      </c>
      <c r="I455" s="50">
        <f t="shared" si="305"/>
        <v>0.025561093922612608</v>
      </c>
      <c r="J455" s="3">
        <f t="shared" si="282"/>
        <v>7.503014358718518</v>
      </c>
      <c r="K455" s="12">
        <f t="shared" si="291"/>
        <v>0.8041085169138669</v>
      </c>
      <c r="L455" s="3">
        <f t="shared" si="283"/>
        <v>1270.5552571108278</v>
      </c>
      <c r="M455" s="12">
        <f t="shared" si="292"/>
        <v>0.7120361723046222</v>
      </c>
      <c r="N455" s="37">
        <f t="shared" si="284"/>
        <v>50358.661177547256</v>
      </c>
      <c r="O455" s="1">
        <f t="shared" si="275"/>
        <v>275670.2131408261</v>
      </c>
      <c r="P455">
        <f t="shared" si="285"/>
        <v>525.0430583683839</v>
      </c>
      <c r="Q455" s="1">
        <f t="shared" si="286"/>
        <v>26440.465479996612</v>
      </c>
      <c r="R455" s="1">
        <f>+Q455*1000/'Material Properties'!AE$35</f>
        <v>22674983.940684266</v>
      </c>
      <c r="S455" s="1">
        <f t="shared" si="287"/>
        <v>636.9377511428165</v>
      </c>
      <c r="T455" s="1">
        <f t="shared" si="288"/>
        <v>248.89095365832327</v>
      </c>
      <c r="U455">
        <f t="shared" si="276"/>
        <v>3.434031486878138E-05</v>
      </c>
      <c r="V455">
        <f>+'Material Properties'!AE$31+'Material Properties'!AE$33</f>
        <v>0.00029034311030761144</v>
      </c>
      <c r="W455">
        <f t="shared" si="295"/>
        <v>0.0003246834251763928</v>
      </c>
      <c r="X455" s="1">
        <f>+'Volcano Summary'!E$12*10^9/Q455/3600/24/365</f>
        <v>0</v>
      </c>
      <c r="Y455" s="3">
        <f t="shared" si="296"/>
        <v>400</v>
      </c>
      <c r="Z455" s="1">
        <f>+Y455*'Volcano Summary'!B$19*'Volcano Summary'!B$20/1000</f>
        <v>16200000</v>
      </c>
      <c r="AA455" s="1">
        <f t="shared" si="277"/>
        <v>612697.2315315712</v>
      </c>
      <c r="AB455" s="3">
        <f t="shared" si="304"/>
        <v>170.19367542543645</v>
      </c>
      <c r="AC455" s="1">
        <f t="shared" si="297"/>
        <v>58989804.27542152</v>
      </c>
      <c r="AD455" s="36">
        <f t="shared" si="298"/>
        <v>16386.056743172638</v>
      </c>
      <c r="AE455" s="36">
        <f t="shared" si="303"/>
        <v>682.7523642988599</v>
      </c>
      <c r="AG455" s="1">
        <f t="shared" si="278"/>
        <v>16200000000.000002</v>
      </c>
      <c r="AH455" s="1">
        <f t="shared" si="299"/>
        <v>16200000</v>
      </c>
      <c r="AI455" s="1">
        <f t="shared" si="300"/>
        <v>16216200000.000002</v>
      </c>
      <c r="AJ455" s="1">
        <f t="shared" si="301"/>
        <v>907200000000</v>
      </c>
      <c r="AK455" s="1">
        <f t="shared" si="302"/>
        <v>908107200000</v>
      </c>
      <c r="AL455" s="39">
        <f>+AJ455/('Volcano Summary'!C$8)*10^6</f>
        <v>62980.43494463929</v>
      </c>
      <c r="AM455" s="1">
        <f t="shared" si="279"/>
        <v>682.7523642988599</v>
      </c>
    </row>
    <row r="456" spans="1:39" ht="12.75">
      <c r="A456" s="1">
        <f t="shared" si="293"/>
        <v>612697.2315315712</v>
      </c>
      <c r="B456" s="1">
        <f t="shared" si="294"/>
        <v>689.7528556282504</v>
      </c>
      <c r="C456" s="1">
        <f t="shared" si="306"/>
        <v>36000</v>
      </c>
      <c r="D456" s="1">
        <f t="shared" si="280"/>
        <v>214.09489393833255</v>
      </c>
      <c r="E456" s="38">
        <f t="shared" si="272"/>
        <v>2260366162.0917873</v>
      </c>
      <c r="F456" s="38">
        <f t="shared" si="273"/>
        <v>1453297978.6436563</v>
      </c>
      <c r="G456" s="38">
        <f t="shared" si="274"/>
        <v>646229795.1955256</v>
      </c>
      <c r="H456" s="18">
        <f t="shared" si="281"/>
        <v>0.00233541300683247</v>
      </c>
      <c r="I456" s="50">
        <f t="shared" si="305"/>
        <v>0.02553752773312152</v>
      </c>
      <c r="J456" s="3">
        <f t="shared" si="282"/>
        <v>7.464067443027692</v>
      </c>
      <c r="K456" s="12">
        <f t="shared" si="291"/>
        <v>0.802706427948997</v>
      </c>
      <c r="L456" s="3">
        <f t="shared" si="283"/>
        <v>1268.3398453003804</v>
      </c>
      <c r="M456" s="12">
        <f t="shared" si="292"/>
        <v>0.7115688093163324</v>
      </c>
      <c r="N456" s="37">
        <f t="shared" si="284"/>
        <v>50924.48883122757</v>
      </c>
      <c r="O456" s="1">
        <f t="shared" si="275"/>
        <v>276625.45633580274</v>
      </c>
      <c r="P456">
        <f t="shared" si="285"/>
        <v>525.9519524973766</v>
      </c>
      <c r="Q456" s="1">
        <f t="shared" si="286"/>
        <v>26783.834330714988</v>
      </c>
      <c r="R456" s="1">
        <f>+Q456*1000/'Material Properties'!AE$35</f>
        <v>22969452.401599254</v>
      </c>
      <c r="S456" s="1">
        <f t="shared" si="287"/>
        <v>638.0403444888682</v>
      </c>
      <c r="T456" s="1">
        <f t="shared" si="288"/>
        <v>250.23529865392857</v>
      </c>
      <c r="U456">
        <f t="shared" si="276"/>
        <v>3.415648873725467E-05</v>
      </c>
      <c r="V456">
        <f>+'Material Properties'!AE$31+'Material Properties'!AE$33</f>
        <v>0.00029034311030761144</v>
      </c>
      <c r="W456">
        <f t="shared" si="295"/>
        <v>0.00032449959904486613</v>
      </c>
      <c r="X456" s="1">
        <f>+'Volcano Summary'!E$12*10^9/Q456/3600/24/365</f>
        <v>0</v>
      </c>
      <c r="Y456" s="3">
        <f t="shared" si="296"/>
        <v>400</v>
      </c>
      <c r="Z456" s="1">
        <f>+Y456*'Volcano Summary'!B$19*'Volcano Summary'!B$20/1000</f>
        <v>16200000</v>
      </c>
      <c r="AA456" s="1">
        <f t="shared" si="277"/>
        <v>604842.4508593332</v>
      </c>
      <c r="AB456" s="3">
        <f t="shared" si="304"/>
        <v>168.01179190537033</v>
      </c>
      <c r="AC456" s="1">
        <f t="shared" si="297"/>
        <v>59594646.72628085</v>
      </c>
      <c r="AD456" s="36">
        <f t="shared" si="298"/>
        <v>16554.068535078008</v>
      </c>
      <c r="AE456" s="36">
        <f t="shared" si="303"/>
        <v>689.7528556282504</v>
      </c>
      <c r="AG456" s="1">
        <f t="shared" si="278"/>
        <v>16200000000</v>
      </c>
      <c r="AH456" s="1">
        <f t="shared" si="299"/>
        <v>16200000</v>
      </c>
      <c r="AI456" s="1">
        <f t="shared" si="300"/>
        <v>16216200000</v>
      </c>
      <c r="AJ456" s="1">
        <f t="shared" si="301"/>
        <v>923400000000</v>
      </c>
      <c r="AK456" s="1">
        <f t="shared" si="302"/>
        <v>924323400000</v>
      </c>
      <c r="AL456" s="39">
        <f>+AJ456/('Volcano Summary'!C$8)*10^6</f>
        <v>64105.085568650706</v>
      </c>
      <c r="AM456" s="1">
        <f t="shared" si="279"/>
        <v>689.7528556282504</v>
      </c>
    </row>
    <row r="457" spans="1:39" ht="12.75">
      <c r="A457" s="1">
        <f t="shared" si="293"/>
        <v>604842.4508593332</v>
      </c>
      <c r="B457" s="1">
        <f t="shared" si="294"/>
        <v>696.664582456974</v>
      </c>
      <c r="C457" s="1">
        <f t="shared" si="306"/>
        <v>36400</v>
      </c>
      <c r="D457" s="1">
        <f t="shared" si="280"/>
        <v>215.2810243109223</v>
      </c>
      <c r="E457" s="38">
        <f t="shared" si="272"/>
        <v>2272889062.141909</v>
      </c>
      <c r="F457" s="38">
        <f t="shared" si="273"/>
        <v>1461349552.6031413</v>
      </c>
      <c r="G457" s="38">
        <f t="shared" si="274"/>
        <v>649810043.0643733</v>
      </c>
      <c r="H457" s="18">
        <f t="shared" si="281"/>
        <v>0.00232254561961703</v>
      </c>
      <c r="I457" s="50">
        <f t="shared" si="305"/>
        <v>0.02551426464627279</v>
      </c>
      <c r="J457" s="3">
        <f t="shared" si="282"/>
        <v>7.425804359195053</v>
      </c>
      <c r="K457" s="12">
        <f t="shared" si="291"/>
        <v>0.801328956931022</v>
      </c>
      <c r="L457" s="3">
        <f t="shared" si="283"/>
        <v>1266.1633317992885</v>
      </c>
      <c r="M457" s="12">
        <f t="shared" si="292"/>
        <v>0.7111096523103407</v>
      </c>
      <c r="N457" s="37">
        <f t="shared" si="284"/>
        <v>51490.316484907875</v>
      </c>
      <c r="O457" s="1">
        <f t="shared" si="275"/>
        <v>277573.6851010646</v>
      </c>
      <c r="P457">
        <f t="shared" si="285"/>
        <v>526.8526218033509</v>
      </c>
      <c r="Q457" s="1">
        <f t="shared" si="286"/>
        <v>27127.808237558012</v>
      </c>
      <c r="R457" s="1">
        <f>+Q457*1000/'Material Properties'!AE$35</f>
        <v>23264439.750425648</v>
      </c>
      <c r="S457" s="1">
        <f t="shared" si="287"/>
        <v>639.1329601765287</v>
      </c>
      <c r="T457" s="1">
        <f t="shared" si="288"/>
        <v>251.54998982425707</v>
      </c>
      <c r="U457">
        <f t="shared" si="276"/>
        <v>3.3978610995276724E-05</v>
      </c>
      <c r="V457">
        <f>+'Material Properties'!AE$31+'Material Properties'!AE$33</f>
        <v>0.00029034311030761144</v>
      </c>
      <c r="W457">
        <f t="shared" si="295"/>
        <v>0.00032432172130288816</v>
      </c>
      <c r="X457" s="1">
        <f>+'Volcano Summary'!E$12*10^9/Q457/3600/24/365</f>
        <v>0</v>
      </c>
      <c r="Y457" s="3">
        <f t="shared" si="296"/>
        <v>400</v>
      </c>
      <c r="Z457" s="1">
        <f>+Y457*'Volcano Summary'!B$19*'Volcano Summary'!B$20/1000</f>
        <v>16200000</v>
      </c>
      <c r="AA457" s="1">
        <f t="shared" si="277"/>
        <v>597173.1980017228</v>
      </c>
      <c r="AB457" s="3">
        <f t="shared" si="304"/>
        <v>165.88144388936743</v>
      </c>
      <c r="AC457" s="1">
        <f t="shared" si="297"/>
        <v>60191819.92428257</v>
      </c>
      <c r="AD457" s="36">
        <f t="shared" si="298"/>
        <v>16719.949978967376</v>
      </c>
      <c r="AE457" s="36">
        <f t="shared" si="303"/>
        <v>696.664582456974</v>
      </c>
      <c r="AG457" s="1">
        <f t="shared" si="278"/>
        <v>16199999999.999998</v>
      </c>
      <c r="AH457" s="1">
        <f t="shared" si="299"/>
        <v>16200000</v>
      </c>
      <c r="AI457" s="1">
        <f t="shared" si="300"/>
        <v>16216199999.999998</v>
      </c>
      <c r="AJ457" s="1">
        <f t="shared" si="301"/>
        <v>939600000000</v>
      </c>
      <c r="AK457" s="1">
        <f t="shared" si="302"/>
        <v>940539600000</v>
      </c>
      <c r="AL457" s="39">
        <f>+AJ457/('Volcano Summary'!C$8)*10^6</f>
        <v>65229.736192662116</v>
      </c>
      <c r="AM457" s="1">
        <f t="shared" si="279"/>
        <v>696.664582456974</v>
      </c>
    </row>
    <row r="458" spans="1:39" ht="12.75">
      <c r="A458" s="1">
        <f t="shared" si="293"/>
        <v>597173.1980017228</v>
      </c>
      <c r="B458" s="1">
        <f t="shared" si="294"/>
        <v>703.489618819668</v>
      </c>
      <c r="C458" s="1">
        <f t="shared" si="306"/>
        <v>36800</v>
      </c>
      <c r="D458" s="1">
        <f t="shared" si="280"/>
        <v>216.4606551922404</v>
      </c>
      <c r="E458" s="38">
        <f t="shared" si="272"/>
        <v>2285343342.012115</v>
      </c>
      <c r="F458" s="38">
        <f t="shared" si="273"/>
        <v>1469357007.3528984</v>
      </c>
      <c r="G458" s="38">
        <f t="shared" si="274"/>
        <v>653370672.6936818</v>
      </c>
      <c r="H458" s="18">
        <f t="shared" si="281"/>
        <v>0.0023098886010298088</v>
      </c>
      <c r="I458" s="50">
        <f t="shared" si="305"/>
        <v>0.025491297458522428</v>
      </c>
      <c r="J458" s="3">
        <f t="shared" si="282"/>
        <v>7.388205742490109</v>
      </c>
      <c r="K458" s="12">
        <f t="shared" si="291"/>
        <v>0.7999754067296441</v>
      </c>
      <c r="L458" s="3">
        <f t="shared" si="283"/>
        <v>1264.0246150863695</v>
      </c>
      <c r="M458" s="12">
        <f t="shared" si="292"/>
        <v>0.7106584689098814</v>
      </c>
      <c r="N458" s="37">
        <f t="shared" si="284"/>
        <v>52056.144138588184</v>
      </c>
      <c r="O458" s="1">
        <f t="shared" si="275"/>
        <v>278515.01444605977</v>
      </c>
      <c r="P458">
        <f t="shared" si="285"/>
        <v>527.7452173597216</v>
      </c>
      <c r="Q458" s="1">
        <f t="shared" si="286"/>
        <v>27472.381103328218</v>
      </c>
      <c r="R458" s="1">
        <f>+Q458*1000/'Material Properties'!AE$35</f>
        <v>23559940.758289747</v>
      </c>
      <c r="S458" s="1">
        <f t="shared" si="287"/>
        <v>640.2157814752649</v>
      </c>
      <c r="T458" s="1">
        <f t="shared" si="288"/>
        <v>252.83600951636924</v>
      </c>
      <c r="U458">
        <f t="shared" si="276"/>
        <v>3.3806395932330664E-05</v>
      </c>
      <c r="V458">
        <f>+'Material Properties'!AE$31+'Material Properties'!AE$33</f>
        <v>0.00029034311030761144</v>
      </c>
      <c r="W458">
        <f t="shared" si="295"/>
        <v>0.0003241495062399421</v>
      </c>
      <c r="X458" s="1">
        <f>+'Volcano Summary'!E$12*10^9/Q458/3600/24/365</f>
        <v>0</v>
      </c>
      <c r="Y458" s="3">
        <f t="shared" si="296"/>
        <v>400</v>
      </c>
      <c r="Z458" s="1">
        <f>+Y458*'Volcano Summary'!B$19*'Volcano Summary'!B$20/1000</f>
        <v>16200000</v>
      </c>
      <c r="AA458" s="1">
        <f t="shared" si="277"/>
        <v>589683.1417367534</v>
      </c>
      <c r="AB458" s="3">
        <f t="shared" si="304"/>
        <v>163.80087270465373</v>
      </c>
      <c r="AC458" s="1">
        <f t="shared" si="297"/>
        <v>60781503.06601933</v>
      </c>
      <c r="AD458" s="36">
        <f t="shared" si="298"/>
        <v>16883.75085167203</v>
      </c>
      <c r="AE458" s="36">
        <f t="shared" si="303"/>
        <v>703.489618819668</v>
      </c>
      <c r="AG458" s="1">
        <f t="shared" si="278"/>
        <v>16200000000</v>
      </c>
      <c r="AH458" s="1">
        <f t="shared" si="299"/>
        <v>16200000</v>
      </c>
      <c r="AI458" s="1">
        <f t="shared" si="300"/>
        <v>16216200000</v>
      </c>
      <c r="AJ458" s="1">
        <f t="shared" si="301"/>
        <v>955800000000</v>
      </c>
      <c r="AK458" s="1">
        <f t="shared" si="302"/>
        <v>956755800000</v>
      </c>
      <c r="AL458" s="39">
        <f>+AJ458/('Volcano Summary'!C$8)*10^6</f>
        <v>66354.38681667352</v>
      </c>
      <c r="AM458" s="1">
        <f t="shared" si="279"/>
        <v>703.489618819668</v>
      </c>
    </row>
    <row r="459" spans="1:39" ht="12.75">
      <c r="A459" s="1">
        <f t="shared" si="293"/>
        <v>589683.1417367534</v>
      </c>
      <c r="B459" s="1">
        <f t="shared" si="294"/>
        <v>710.2299687272315</v>
      </c>
      <c r="C459" s="1">
        <f t="shared" si="306"/>
        <v>37200</v>
      </c>
      <c r="D459" s="1">
        <f t="shared" si="280"/>
        <v>217.63389226898474</v>
      </c>
      <c r="E459" s="38">
        <f t="shared" si="272"/>
        <v>2297730117.518999</v>
      </c>
      <c r="F459" s="38">
        <f t="shared" si="273"/>
        <v>1477321060.3050132</v>
      </c>
      <c r="G459" s="38">
        <f t="shared" si="274"/>
        <v>656912003.0910275</v>
      </c>
      <c r="H459" s="18">
        <f t="shared" si="281"/>
        <v>0.0022974362806599292</v>
      </c>
      <c r="I459" s="50">
        <f t="shared" si="305"/>
        <v>0.02546861921401668</v>
      </c>
      <c r="J459" s="3">
        <f t="shared" si="282"/>
        <v>7.351252980059449</v>
      </c>
      <c r="K459" s="12">
        <f t="shared" si="291"/>
        <v>0.7986451072821403</v>
      </c>
      <c r="L459" s="3">
        <f t="shared" si="283"/>
        <v>1261.9226364093565</v>
      </c>
      <c r="M459" s="12">
        <f t="shared" si="292"/>
        <v>0.7102150357607134</v>
      </c>
      <c r="N459" s="37">
        <f t="shared" si="284"/>
        <v>52621.97179226849</v>
      </c>
      <c r="O459" s="1">
        <f t="shared" si="275"/>
        <v>279449.55634058674</v>
      </c>
      <c r="P459">
        <f t="shared" si="285"/>
        <v>528.6298859699352</v>
      </c>
      <c r="Q459" s="1">
        <f t="shared" si="286"/>
        <v>27817.54694806004</v>
      </c>
      <c r="R459" s="1">
        <f>+Q459*1000/'Material Properties'!AE$35</f>
        <v>23855950.29685434</v>
      </c>
      <c r="S459" s="1">
        <f t="shared" si="287"/>
        <v>641.288986474579</v>
      </c>
      <c r="T459" s="1">
        <f t="shared" si="288"/>
        <v>254.09429707244465</v>
      </c>
      <c r="U459">
        <f t="shared" si="276"/>
        <v>3.3639575859074964E-05</v>
      </c>
      <c r="V459">
        <f>+'Material Properties'!AE$31+'Material Properties'!AE$33</f>
        <v>0.00029034311030761144</v>
      </c>
      <c r="W459">
        <f t="shared" si="295"/>
        <v>0.0003239826861666864</v>
      </c>
      <c r="X459" s="1">
        <f>+'Volcano Summary'!E$12*10^9/Q459/3600/24/365</f>
        <v>0</v>
      </c>
      <c r="Y459" s="3">
        <f t="shared" si="296"/>
        <v>400</v>
      </c>
      <c r="Z459" s="1">
        <f>+Y459*'Volcano Summary'!B$19*'Volcano Summary'!B$20/1000</f>
        <v>16200000</v>
      </c>
      <c r="AA459" s="1">
        <f t="shared" si="277"/>
        <v>582366.2320134869</v>
      </c>
      <c r="AB459" s="3">
        <f t="shared" si="304"/>
        <v>161.76839778152413</v>
      </c>
      <c r="AC459" s="1">
        <f t="shared" si="297"/>
        <v>61363869.29803281</v>
      </c>
      <c r="AD459" s="36">
        <f t="shared" si="298"/>
        <v>17045.519249453555</v>
      </c>
      <c r="AE459" s="36">
        <f t="shared" si="303"/>
        <v>710.2299687272315</v>
      </c>
      <c r="AG459" s="1">
        <f t="shared" si="278"/>
        <v>16199999999.999998</v>
      </c>
      <c r="AH459" s="1">
        <f t="shared" si="299"/>
        <v>16200000</v>
      </c>
      <c r="AI459" s="1">
        <f t="shared" si="300"/>
        <v>16216199999.999998</v>
      </c>
      <c r="AJ459" s="1">
        <f t="shared" si="301"/>
        <v>972000000000</v>
      </c>
      <c r="AK459" s="1">
        <f t="shared" si="302"/>
        <v>972972000000</v>
      </c>
      <c r="AL459" s="39">
        <f>+AJ459/('Volcano Summary'!C$8)*10^6</f>
        <v>67479.03744068494</v>
      </c>
      <c r="AM459" s="1">
        <f t="shared" si="279"/>
        <v>710.2299687272315</v>
      </c>
    </row>
    <row r="460" spans="1:39" ht="12.75">
      <c r="A460" s="1">
        <f t="shared" si="293"/>
        <v>582366.2320134869</v>
      </c>
      <c r="B460" s="1">
        <f t="shared" si="294"/>
        <v>716.8875692438013</v>
      </c>
      <c r="C460" s="1">
        <f t="shared" si="306"/>
        <v>37600</v>
      </c>
      <c r="D460" s="1">
        <f t="shared" si="280"/>
        <v>218.80083839428522</v>
      </c>
      <c r="E460" s="38">
        <f t="shared" si="272"/>
        <v>2310050474.5629797</v>
      </c>
      <c r="F460" s="38">
        <f t="shared" si="273"/>
        <v>1485242409.6370234</v>
      </c>
      <c r="G460" s="38">
        <f t="shared" si="274"/>
        <v>660434344.7110679</v>
      </c>
      <c r="H460" s="18">
        <f t="shared" si="281"/>
        <v>0.002285183199796456</v>
      </c>
      <c r="I460" s="50">
        <f t="shared" si="305"/>
        <v>0.025446223193506482</v>
      </c>
      <c r="J460" s="3">
        <f t="shared" si="282"/>
        <v>7.314928174007194</v>
      </c>
      <c r="K460" s="12">
        <f t="shared" si="291"/>
        <v>0.7973374142642591</v>
      </c>
      <c r="L460" s="3">
        <f t="shared" si="283"/>
        <v>1259.856377684809</v>
      </c>
      <c r="M460" s="12">
        <f t="shared" si="292"/>
        <v>0.7097791380880863</v>
      </c>
      <c r="N460" s="37">
        <f t="shared" si="284"/>
        <v>53187.79944594879</v>
      </c>
      <c r="O460" s="1">
        <f t="shared" si="275"/>
        <v>280377.419826121</v>
      </c>
      <c r="P460">
        <f t="shared" si="285"/>
        <v>529.5067703307683</v>
      </c>
      <c r="Q460" s="1">
        <f t="shared" si="286"/>
        <v>28163.299905624972</v>
      </c>
      <c r="R460" s="1">
        <f>+Q460*1000/'Material Properties'!AE$35</f>
        <v>24152463.335407317</v>
      </c>
      <c r="S460" s="1">
        <f t="shared" si="287"/>
        <v>642.3527482821095</v>
      </c>
      <c r="T460" s="1">
        <f t="shared" si="288"/>
        <v>255.32575115726763</v>
      </c>
      <c r="U460">
        <f t="shared" si="276"/>
        <v>3.347789970858554E-05</v>
      </c>
      <c r="V460">
        <f>+'Material Properties'!AE$31+'Material Properties'!AE$33</f>
        <v>0.00029034311030761144</v>
      </c>
      <c r="W460">
        <f t="shared" si="295"/>
        <v>0.000323821010016197</v>
      </c>
      <c r="X460" s="1">
        <f>+'Volcano Summary'!E$12*10^9/Q460/3600/24/365</f>
        <v>0</v>
      </c>
      <c r="Y460" s="3">
        <f t="shared" si="296"/>
        <v>400</v>
      </c>
      <c r="Z460" s="1">
        <f>+Y460*'Volcano Summary'!B$19*'Volcano Summary'!B$20/1000</f>
        <v>16200000</v>
      </c>
      <c r="AA460" s="1">
        <f t="shared" si="277"/>
        <v>575216.6846316338</v>
      </c>
      <c r="AB460" s="3">
        <f t="shared" si="304"/>
        <v>159.78241239767607</v>
      </c>
      <c r="AC460" s="1">
        <f t="shared" si="297"/>
        <v>61939085.98266444</v>
      </c>
      <c r="AD460" s="36">
        <f t="shared" si="298"/>
        <v>17205.30166185123</v>
      </c>
      <c r="AE460" s="36">
        <f t="shared" si="303"/>
        <v>716.8875692438013</v>
      </c>
      <c r="AG460" s="1">
        <f t="shared" si="278"/>
        <v>16200000000.000002</v>
      </c>
      <c r="AH460" s="1">
        <f t="shared" si="299"/>
        <v>16200000</v>
      </c>
      <c r="AI460" s="1">
        <f t="shared" si="300"/>
        <v>16216200000.000002</v>
      </c>
      <c r="AJ460" s="1">
        <f t="shared" si="301"/>
        <v>988200000000</v>
      </c>
      <c r="AK460" s="1">
        <f t="shared" si="302"/>
        <v>989188200000</v>
      </c>
      <c r="AL460" s="39">
        <f>+AJ460/('Volcano Summary'!C$8)*10^6</f>
        <v>68603.68806469635</v>
      </c>
      <c r="AM460" s="1">
        <f t="shared" si="279"/>
        <v>716.8875692438013</v>
      </c>
    </row>
    <row r="461" spans="1:39" ht="12.75">
      <c r="A461" s="1">
        <f t="shared" si="293"/>
        <v>575216.6846316338</v>
      </c>
      <c r="B461" s="1">
        <f t="shared" si="294"/>
        <v>723.4642933978203</v>
      </c>
      <c r="C461" s="1">
        <f t="shared" si="306"/>
        <v>38000</v>
      </c>
      <c r="D461" s="1">
        <f t="shared" si="280"/>
        <v>219.96159369293582</v>
      </c>
      <c r="E461" s="38">
        <f t="shared" si="272"/>
        <v>2322305470.239309</v>
      </c>
      <c r="F461" s="38">
        <f t="shared" si="273"/>
        <v>1493121735.006244</v>
      </c>
      <c r="G461" s="38">
        <f t="shared" si="274"/>
        <v>663937999.7731787</v>
      </c>
      <c r="H461" s="18">
        <f t="shared" si="281"/>
        <v>0.0022731241013737836</v>
      </c>
      <c r="I461" s="50">
        <f t="shared" si="305"/>
        <v>0.025424102903870423</v>
      </c>
      <c r="J461" s="3">
        <f t="shared" si="282"/>
        <v>7.279214106659506</v>
      </c>
      <c r="K461" s="12">
        <f t="shared" si="291"/>
        <v>0.7960517078397423</v>
      </c>
      <c r="L461" s="3">
        <f t="shared" si="283"/>
        <v>1257.82485952226</v>
      </c>
      <c r="M461" s="12">
        <f t="shared" si="292"/>
        <v>0.7093505692799141</v>
      </c>
      <c r="N461" s="37">
        <f t="shared" si="284"/>
        <v>53753.627099629106</v>
      </c>
      <c r="O461" s="1">
        <f t="shared" si="275"/>
        <v>281298.7111219372</v>
      </c>
      <c r="P461">
        <f t="shared" si="285"/>
        <v>530.3760091877622</v>
      </c>
      <c r="Q461" s="1">
        <f t="shared" si="286"/>
        <v>28509.63422046843</v>
      </c>
      <c r="R461" s="1">
        <f>+Q461*1000/'Material Properties'!AE$35</f>
        <v>24449474.938063275</v>
      </c>
      <c r="S461" s="1">
        <f t="shared" si="287"/>
        <v>643.4072352121915</v>
      </c>
      <c r="T461" s="1">
        <f t="shared" si="288"/>
        <v>256.53123193628096</v>
      </c>
      <c r="U461">
        <f t="shared" si="276"/>
        <v>3.332113176587366E-05</v>
      </c>
      <c r="V461">
        <f>+'Material Properties'!AE$31+'Material Properties'!AE$33</f>
        <v>0.00029034311030761144</v>
      </c>
      <c r="W461">
        <f t="shared" si="295"/>
        <v>0.0003236642420734851</v>
      </c>
      <c r="X461" s="1">
        <f>+'Volcano Summary'!E$12*10^9/Q461/3600/24/365</f>
        <v>0</v>
      </c>
      <c r="Y461" s="3">
        <f t="shared" si="296"/>
        <v>400</v>
      </c>
      <c r="Z461" s="1">
        <f>+Y461*'Volcano Summary'!B$19*'Volcano Summary'!B$20/1000</f>
        <v>16200000</v>
      </c>
      <c r="AA461" s="1">
        <f t="shared" si="277"/>
        <v>568228.9669072374</v>
      </c>
      <c r="AB461" s="3">
        <f t="shared" si="304"/>
        <v>157.84137969645485</v>
      </c>
      <c r="AC461" s="1">
        <f t="shared" si="297"/>
        <v>62507314.949571684</v>
      </c>
      <c r="AD461" s="36">
        <f t="shared" si="298"/>
        <v>17363.143041547686</v>
      </c>
      <c r="AE461" s="36">
        <f t="shared" si="303"/>
        <v>723.4642933978203</v>
      </c>
      <c r="AG461" s="1">
        <f t="shared" si="278"/>
        <v>16199999999.999998</v>
      </c>
      <c r="AH461" s="1">
        <f t="shared" si="299"/>
        <v>16200000</v>
      </c>
      <c r="AI461" s="1">
        <f t="shared" si="300"/>
        <v>16216199999.999998</v>
      </c>
      <c r="AJ461" s="1">
        <f t="shared" si="301"/>
        <v>1004400000000</v>
      </c>
      <c r="AK461" s="1">
        <f t="shared" si="302"/>
        <v>1005404400000</v>
      </c>
      <c r="AL461" s="39">
        <f>+AJ461/('Volcano Summary'!C$8)*10^6</f>
        <v>69728.33868870776</v>
      </c>
      <c r="AM461" s="1">
        <f t="shared" si="279"/>
        <v>723.4642933978203</v>
      </c>
    </row>
    <row r="462" spans="1:39" ht="12.75">
      <c r="A462" s="1">
        <f t="shared" si="293"/>
        <v>568228.9669072374</v>
      </c>
      <c r="B462" s="1">
        <f t="shared" si="294"/>
        <v>729.9619529377674</v>
      </c>
      <c r="C462" s="1">
        <f t="shared" si="306"/>
        <v>38400</v>
      </c>
      <c r="D462" s="1">
        <f t="shared" si="280"/>
        <v>221.11625566165472</v>
      </c>
      <c r="E462" s="38">
        <f t="shared" si="272"/>
        <v>2334496133.896604</v>
      </c>
      <c r="F462" s="38">
        <f t="shared" si="273"/>
        <v>1500959698.2303421</v>
      </c>
      <c r="G462" s="38">
        <f t="shared" si="274"/>
        <v>667423262.5640802</v>
      </c>
      <c r="H462" s="18">
        <f t="shared" si="281"/>
        <v>0.0022612539204945863</v>
      </c>
      <c r="I462" s="50">
        <f t="shared" si="305"/>
        <v>0.02540225206820686</v>
      </c>
      <c r="J462" s="3">
        <f t="shared" si="282"/>
        <v>7.244094207862448</v>
      </c>
      <c r="K462" s="12">
        <f t="shared" si="291"/>
        <v>0.7947873914830482</v>
      </c>
      <c r="L462" s="3">
        <f t="shared" si="283"/>
        <v>1255.827139364023</v>
      </c>
      <c r="M462" s="12">
        <f t="shared" si="292"/>
        <v>0.7089291304943495</v>
      </c>
      <c r="N462" s="37">
        <f t="shared" si="284"/>
        <v>54319.454753309416</v>
      </c>
      <c r="O462" s="1">
        <f t="shared" si="275"/>
        <v>282213.5337263247</v>
      </c>
      <c r="P462">
        <f t="shared" si="285"/>
        <v>531.2377374832521</v>
      </c>
      <c r="Q462" s="1">
        <f t="shared" si="286"/>
        <v>28856.544244471977</v>
      </c>
      <c r="R462" s="1">
        <f>+Q462*1000/'Material Properties'!AE$35</f>
        <v>24746980.261072583</v>
      </c>
      <c r="S462" s="1">
        <f t="shared" si="287"/>
        <v>644.4526109654319</v>
      </c>
      <c r="T462" s="1">
        <f t="shared" si="288"/>
        <v>257.7115631152727</v>
      </c>
      <c r="U462">
        <f t="shared" si="276"/>
        <v>3.316905051216335E-05</v>
      </c>
      <c r="V462">
        <f>+'Material Properties'!AE$31+'Material Properties'!AE$33</f>
        <v>0.00029034311030761144</v>
      </c>
      <c r="W462">
        <f t="shared" si="295"/>
        <v>0.0003235121608197748</v>
      </c>
      <c r="X462" s="1">
        <f>+'Volcano Summary'!E$12*10^9/Q462/3600/24/365</f>
        <v>0</v>
      </c>
      <c r="Y462" s="3">
        <f t="shared" si="296"/>
        <v>400</v>
      </c>
      <c r="Z462" s="1">
        <f>+Y462*'Volcano Summary'!B$19*'Volcano Summary'!B$20/1000</f>
        <v>16200000</v>
      </c>
      <c r="AA462" s="1">
        <f t="shared" si="277"/>
        <v>561397.7842514326</v>
      </c>
      <c r="AB462" s="3">
        <f t="shared" si="304"/>
        <v>155.94382895873127</v>
      </c>
      <c r="AC462" s="1">
        <f t="shared" si="297"/>
        <v>63068712.73382311</v>
      </c>
      <c r="AD462" s="36">
        <f t="shared" si="298"/>
        <v>17519.086870506417</v>
      </c>
      <c r="AE462" s="36">
        <f t="shared" si="303"/>
        <v>729.9619529377674</v>
      </c>
      <c r="AG462" s="1">
        <f t="shared" si="278"/>
        <v>16200000000</v>
      </c>
      <c r="AH462" s="1">
        <f t="shared" si="299"/>
        <v>16200000</v>
      </c>
      <c r="AI462" s="1">
        <f t="shared" si="300"/>
        <v>16216200000</v>
      </c>
      <c r="AJ462" s="1">
        <f t="shared" si="301"/>
        <v>1020600000000</v>
      </c>
      <c r="AK462" s="1">
        <f t="shared" si="302"/>
        <v>1021620600000</v>
      </c>
      <c r="AL462" s="39">
        <f>+AJ462/('Volcano Summary'!C$8)*10^6</f>
        <v>70852.98931271919</v>
      </c>
      <c r="AM462" s="1">
        <f t="shared" si="279"/>
        <v>729.9619529377674</v>
      </c>
    </row>
    <row r="463" spans="1:39" ht="12.75">
      <c r="A463" s="1">
        <f t="shared" si="293"/>
        <v>561397.7842514326</v>
      </c>
      <c r="B463" s="1">
        <f t="shared" si="294"/>
        <v>736.3823009423432</v>
      </c>
      <c r="C463" s="1">
        <f t="shared" si="306"/>
        <v>38800</v>
      </c>
      <c r="D463" s="1">
        <f t="shared" si="280"/>
        <v>222.26491926465658</v>
      </c>
      <c r="E463" s="38">
        <f aca="true" t="shared" si="307" ref="E463:E526">+$D463*1000*A$7*$F$11/$F$10</f>
        <v>2346623468.1458726</v>
      </c>
      <c r="F463" s="38">
        <f aca="true" t="shared" si="308" ref="F463:F526">+$D463*1000*C$7*$F$11/$F$10</f>
        <v>1508756943.9360945</v>
      </c>
      <c r="G463" s="38">
        <f aca="true" t="shared" si="309" ref="G463:G526">+$D463*1000*D$7*$F$11/$F$10</f>
        <v>670890419.7263163</v>
      </c>
      <c r="H463" s="18">
        <f t="shared" si="281"/>
        <v>0.002249567775491539</v>
      </c>
      <c r="I463" s="50">
        <f t="shared" si="305"/>
        <v>0.02538066461645862</v>
      </c>
      <c r="J463" s="3">
        <f t="shared" si="282"/>
        <v>7.209552524174363</v>
      </c>
      <c r="K463" s="12">
        <f t="shared" si="291"/>
        <v>0.7935438908702772</v>
      </c>
      <c r="L463" s="3">
        <f t="shared" si="283"/>
        <v>1253.8623097327682</v>
      </c>
      <c r="M463" s="12">
        <f t="shared" si="292"/>
        <v>0.7085146302900924</v>
      </c>
      <c r="N463" s="37">
        <f t="shared" si="284"/>
        <v>54885.2824069897</v>
      </c>
      <c r="O463" s="1">
        <f aca="true" t="shared" si="310" ref="O463:O526">+L463/J463/P$9</f>
        <v>283121.98851317016</v>
      </c>
      <c r="P463">
        <f t="shared" si="285"/>
        <v>532.0920864974128</v>
      </c>
      <c r="Q463" s="1">
        <f t="shared" si="286"/>
        <v>29204.024433934894</v>
      </c>
      <c r="R463" s="1">
        <f>+Q463*1000/'Material Properties'!AE$35</f>
        <v>25044974.550232828</v>
      </c>
      <c r="S463" s="1">
        <f t="shared" si="287"/>
        <v>645.4890347998152</v>
      </c>
      <c r="T463" s="1">
        <f t="shared" si="288"/>
        <v>258.86753385183465</v>
      </c>
      <c r="U463">
        <f aca="true" t="shared" si="311" ref="U463:U526">+I$3*0.1*0.9/(T463+0.9)</f>
        <v>3.302144757201504E-05</v>
      </c>
      <c r="V463">
        <f>+'Material Properties'!AE$31+'Material Properties'!AE$33</f>
        <v>0.00029034311030761144</v>
      </c>
      <c r="W463">
        <f t="shared" si="295"/>
        <v>0.0003233645578796265</v>
      </c>
      <c r="X463" s="1">
        <f>+'Volcano Summary'!E$12*10^9/Q463/3600/24/365</f>
        <v>0</v>
      </c>
      <c r="Y463" s="3">
        <f t="shared" si="296"/>
        <v>400</v>
      </c>
      <c r="Z463" s="1">
        <f>+Y463*'Volcano Summary'!B$19*'Volcano Summary'!B$20/1000</f>
        <v>16200000</v>
      </c>
      <c r="AA463" s="1">
        <f aca="true" t="shared" si="312" ref="AA463:AA526">Z463/(AA$12/100*Q463)</f>
        <v>554718.0675953586</v>
      </c>
      <c r="AB463" s="3">
        <f t="shared" si="304"/>
        <v>154.08835210982184</v>
      </c>
      <c r="AC463" s="1">
        <f t="shared" si="297"/>
        <v>63623430.80141847</v>
      </c>
      <c r="AD463" s="36">
        <f t="shared" si="298"/>
        <v>17673.17522261624</v>
      </c>
      <c r="AE463" s="36">
        <f t="shared" si="303"/>
        <v>736.3823009423432</v>
      </c>
      <c r="AG463" s="1">
        <f aca="true" t="shared" si="313" ref="AG463:AG526">+AA463*Q463</f>
        <v>16200000000</v>
      </c>
      <c r="AH463" s="1">
        <f t="shared" si="299"/>
        <v>16200000</v>
      </c>
      <c r="AI463" s="1">
        <f t="shared" si="300"/>
        <v>16216200000</v>
      </c>
      <c r="AJ463" s="1">
        <f t="shared" si="301"/>
        <v>1036800000000</v>
      </c>
      <c r="AK463" s="1">
        <f t="shared" si="302"/>
        <v>1037836800000</v>
      </c>
      <c r="AL463" s="39">
        <f>+AJ463/('Volcano Summary'!C$8)*10^6</f>
        <v>71977.6399367306</v>
      </c>
      <c r="AM463" s="1">
        <f aca="true" t="shared" si="314" ref="AM463:AM526">+B463</f>
        <v>736.3823009423432</v>
      </c>
    </row>
    <row r="464" spans="1:39" ht="12.75">
      <c r="A464" s="1">
        <f t="shared" si="293"/>
        <v>554718.0675953586</v>
      </c>
      <c r="B464" s="1">
        <f t="shared" si="294"/>
        <v>742.7270342941933</v>
      </c>
      <c r="C464" s="1">
        <f t="shared" si="306"/>
        <v>39200</v>
      </c>
      <c r="D464" s="1">
        <f aca="true" t="shared" si="315" ref="D464:D527">2*SQRT(C464/PI())</f>
        <v>223.40767702480233</v>
      </c>
      <c r="E464" s="38">
        <f t="shared" si="307"/>
        <v>2358688449.8228545</v>
      </c>
      <c r="F464" s="38">
        <f t="shared" si="308"/>
        <v>1516514100.1781185</v>
      </c>
      <c r="G464" s="38">
        <f t="shared" si="309"/>
        <v>674339750.5333825</v>
      </c>
      <c r="H464" s="18">
        <f aca="true" t="shared" si="316" ref="H464:H527">+(H$13/1000)/D464</f>
        <v>0.0022380609594919647</v>
      </c>
      <c r="I464" s="50">
        <f t="shared" si="305"/>
        <v>0.025359334676536505</v>
      </c>
      <c r="J464" s="3">
        <f aca="true" t="shared" si="317" ref="J464:J527">+J$13*I464/D464+1.5</f>
        <v>7.175573689824714</v>
      </c>
      <c r="K464" s="12">
        <f t="shared" si="291"/>
        <v>0.7923206528336898</v>
      </c>
      <c r="L464" s="3">
        <f aca="true" t="shared" si="318" ref="L464:L527">+L$10*K464</f>
        <v>1251.929496579577</v>
      </c>
      <c r="M464" s="12">
        <f t="shared" si="292"/>
        <v>0.7081068842778966</v>
      </c>
      <c r="N464" s="37">
        <f aca="true" t="shared" si="319" ref="N464:N527">1.111*10^-6*(D464*1000)^2</f>
        <v>55451.110060670035</v>
      </c>
      <c r="O464" s="1">
        <f t="shared" si="310"/>
        <v>284024.1738241648</v>
      </c>
      <c r="P464">
        <f aca="true" t="shared" si="320" ref="P464:P527">+SQRT(O464)</f>
        <v>532.9391839827175</v>
      </c>
      <c r="Q464" s="1">
        <f aca="true" t="shared" si="321" ref="Q464:Q527">+P464*N464/1000</f>
        <v>29552.069346669345</v>
      </c>
      <c r="R464" s="1">
        <f>+Q464*1000/'Material Properties'!AE$35</f>
        <v>25343453.138397668</v>
      </c>
      <c r="S464" s="1">
        <f aca="true" t="shared" si="322" ref="S464:S527">+R464/C464</f>
        <v>646.516661693818</v>
      </c>
      <c r="T464" s="1">
        <f aca="true" t="shared" si="323" ref="T464:T527">+L464-L464*K464</f>
        <v>259.99990054789396</v>
      </c>
      <c r="U464">
        <f t="shared" si="311"/>
        <v>3.287812675277481E-05</v>
      </c>
      <c r="V464">
        <f>+'Material Properties'!AE$31+'Material Properties'!AE$33</f>
        <v>0.00029034311030761144</v>
      </c>
      <c r="W464">
        <f t="shared" si="295"/>
        <v>0.00032322123706038624</v>
      </c>
      <c r="X464" s="1">
        <f>+'Volcano Summary'!E$12*10^9/Q464/3600/24/365</f>
        <v>0</v>
      </c>
      <c r="Y464" s="3">
        <f t="shared" si="296"/>
        <v>400</v>
      </c>
      <c r="Z464" s="1">
        <f>+Y464*'Volcano Summary'!B$19*'Volcano Summary'!B$20/1000</f>
        <v>16200000</v>
      </c>
      <c r="AA464" s="1">
        <f t="shared" si="312"/>
        <v>548184.9615998487</v>
      </c>
      <c r="AB464" s="3">
        <f t="shared" si="304"/>
        <v>152.2736004444024</v>
      </c>
      <c r="AC464" s="1">
        <f t="shared" si="297"/>
        <v>64171615.76301832</v>
      </c>
      <c r="AD464" s="36">
        <f t="shared" si="298"/>
        <v>17825.44882306064</v>
      </c>
      <c r="AE464" s="36">
        <f t="shared" si="303"/>
        <v>742.7270342941933</v>
      </c>
      <c r="AG464" s="1">
        <f t="shared" si="313"/>
        <v>16200000000</v>
      </c>
      <c r="AH464" s="1">
        <f t="shared" si="299"/>
        <v>16200000</v>
      </c>
      <c r="AI464" s="1">
        <f t="shared" si="300"/>
        <v>16216200000</v>
      </c>
      <c r="AJ464" s="1">
        <f t="shared" si="301"/>
        <v>1053000000000</v>
      </c>
      <c r="AK464" s="1">
        <f t="shared" si="302"/>
        <v>1054053000000</v>
      </c>
      <c r="AL464" s="39">
        <f>+AJ464/('Volcano Summary'!C$8)*10^6</f>
        <v>73102.29056074203</v>
      </c>
      <c r="AM464" s="1">
        <f t="shared" si="314"/>
        <v>742.7270342941933</v>
      </c>
    </row>
    <row r="465" spans="1:39" ht="12.75">
      <c r="A465" s="1">
        <f t="shared" si="293"/>
        <v>548184.9615998487</v>
      </c>
      <c r="B465" s="1">
        <f t="shared" si="294"/>
        <v>748.9977960256001</v>
      </c>
      <c r="C465" s="1">
        <f t="shared" si="306"/>
        <v>39600</v>
      </c>
      <c r="D465" s="1">
        <f t="shared" si="315"/>
        <v>224.5446191105733</v>
      </c>
      <c r="E465" s="38">
        <f t="shared" si="307"/>
        <v>2370692030.9062734</v>
      </c>
      <c r="F465" s="38">
        <f t="shared" si="308"/>
        <v>1524231779.0292625</v>
      </c>
      <c r="G465" s="38">
        <f t="shared" si="309"/>
        <v>677771527.1522522</v>
      </c>
      <c r="H465" s="18">
        <f t="shared" si="316"/>
        <v>0.0022267289324523214</v>
      </c>
      <c r="I465" s="50">
        <f t="shared" si="305"/>
        <v>0.02533825656591026</v>
      </c>
      <c r="J465" s="3">
        <f t="shared" si="317"/>
        <v>7.142142899321238</v>
      </c>
      <c r="K465" s="12">
        <f t="shared" si="291"/>
        <v>0.7911171443755647</v>
      </c>
      <c r="L465" s="3">
        <f t="shared" si="318"/>
        <v>1250.0278577257607</v>
      </c>
      <c r="M465" s="12">
        <f t="shared" si="292"/>
        <v>0.707705714791855</v>
      </c>
      <c r="N465" s="37">
        <f t="shared" si="319"/>
        <v>56016.93771435033</v>
      </c>
      <c r="O465" s="1">
        <f t="shared" si="310"/>
        <v>284920.185556877</v>
      </c>
      <c r="P465">
        <f t="shared" si="320"/>
        <v>533.7791542921819</v>
      </c>
      <c r="Q465" s="1">
        <f t="shared" si="321"/>
        <v>29900.67363920375</v>
      </c>
      <c r="R465" s="1">
        <f>+Q465*1000/'Material Properties'!AE$35</f>
        <v>25642411.443078473</v>
      </c>
      <c r="S465" s="1">
        <f t="shared" si="322"/>
        <v>647.5356425019817</v>
      </c>
      <c r="T465" s="1">
        <f t="shared" si="323"/>
        <v>261.10938853185223</v>
      </c>
      <c r="U465">
        <f t="shared" si="311"/>
        <v>3.2738903167041254E-05</v>
      </c>
      <c r="V465">
        <f>+'Material Properties'!AE$31+'Material Properties'!AE$33</f>
        <v>0.00029034311030761144</v>
      </c>
      <c r="W465">
        <f t="shared" si="295"/>
        <v>0.0003230820134746527</v>
      </c>
      <c r="X465" s="1">
        <f>+'Volcano Summary'!E$12*10^9/Q465/3600/24/365</f>
        <v>0</v>
      </c>
      <c r="Y465" s="3">
        <f t="shared" si="296"/>
        <v>400</v>
      </c>
      <c r="Z465" s="1">
        <f>+Y465*'Volcano Summary'!B$19*'Volcano Summary'!B$20/1000</f>
        <v>16200000</v>
      </c>
      <c r="AA465" s="1">
        <f t="shared" si="312"/>
        <v>541793.813593539</v>
      </c>
      <c r="AB465" s="3">
        <f t="shared" si="304"/>
        <v>150.49828155376082</v>
      </c>
      <c r="AC465" s="1">
        <f t="shared" si="297"/>
        <v>64713409.576611854</v>
      </c>
      <c r="AD465" s="36">
        <f t="shared" si="298"/>
        <v>17975.947104614403</v>
      </c>
      <c r="AE465" s="36">
        <f t="shared" si="303"/>
        <v>748.9977960256001</v>
      </c>
      <c r="AG465" s="1">
        <f t="shared" si="313"/>
        <v>16200000000</v>
      </c>
      <c r="AH465" s="1">
        <f t="shared" si="299"/>
        <v>16200000</v>
      </c>
      <c r="AI465" s="1">
        <f t="shared" si="300"/>
        <v>16216200000</v>
      </c>
      <c r="AJ465" s="1">
        <f t="shared" si="301"/>
        <v>1069200000000</v>
      </c>
      <c r="AK465" s="1">
        <f t="shared" si="302"/>
        <v>1070269200000</v>
      </c>
      <c r="AL465" s="39">
        <f>+AJ465/('Volcano Summary'!C$8)*10^6</f>
        <v>74226.94118475344</v>
      </c>
      <c r="AM465" s="1">
        <f t="shared" si="314"/>
        <v>748.9977960256001</v>
      </c>
    </row>
    <row r="466" spans="1:39" ht="12.75">
      <c r="A466" s="1">
        <f t="shared" si="293"/>
        <v>541793.813593539</v>
      </c>
      <c r="B466" s="1">
        <f t="shared" si="294"/>
        <v>761.3945590623501</v>
      </c>
      <c r="C466" s="1">
        <f t="shared" si="306"/>
        <v>40000</v>
      </c>
      <c r="D466" s="1">
        <f t="shared" si="315"/>
        <v>225.67583341910253</v>
      </c>
      <c r="E466" s="38">
        <f t="shared" si="307"/>
        <v>2382635139.3944654</v>
      </c>
      <c r="F466" s="38">
        <f t="shared" si="308"/>
        <v>1531910577.1442325</v>
      </c>
      <c r="G466" s="38">
        <f t="shared" si="309"/>
        <v>681186014.8939993</v>
      </c>
      <c r="H466" s="18">
        <f t="shared" si="316"/>
        <v>0.002215567313631895</v>
      </c>
      <c r="I466" s="50">
        <f t="shared" si="305"/>
        <v>0.025317424783637882</v>
      </c>
      <c r="J466" s="3">
        <f t="shared" si="317"/>
        <v>7.109245881596213</v>
      </c>
      <c r="K466" s="12">
        <f t="shared" si="291"/>
        <v>0.7899328517374639</v>
      </c>
      <c r="L466" s="3">
        <f t="shared" si="318"/>
        <v>1248.1565813922234</v>
      </c>
      <c r="M466" s="12">
        <f t="shared" si="292"/>
        <v>0.7073109505791546</v>
      </c>
      <c r="N466" s="37">
        <f t="shared" si="319"/>
        <v>56582.76536803064</v>
      </c>
      <c r="O466" s="1">
        <f t="shared" si="310"/>
        <v>285810.117248915</v>
      </c>
      <c r="P466">
        <f t="shared" si="320"/>
        <v>534.6121185017367</v>
      </c>
      <c r="Q466" s="1">
        <f t="shared" si="321"/>
        <v>30249.83206408956</v>
      </c>
      <c r="R466" s="1">
        <f>+Q466*1000/'Material Properties'!AE$35</f>
        <v>25941844.96413468</v>
      </c>
      <c r="S466" s="1">
        <f t="shared" si="322"/>
        <v>648.546124103367</v>
      </c>
      <c r="T466" s="1">
        <f t="shared" si="323"/>
        <v>262.1966936381805</v>
      </c>
      <c r="U466">
        <f t="shared" si="311"/>
        <v>3.260360242989834E-05</v>
      </c>
      <c r="V466">
        <f>+'Material Properties'!AE$31+'Material Properties'!AE$33</f>
        <v>0.00029034311030761144</v>
      </c>
      <c r="W466">
        <f t="shared" si="295"/>
        <v>0.0003229467127375098</v>
      </c>
      <c r="X466" s="1">
        <f>+'Volcano Summary'!E$12*10^9/Q466/3600/24/365</f>
        <v>0</v>
      </c>
      <c r="Y466" s="3">
        <f t="shared" si="296"/>
        <v>800</v>
      </c>
      <c r="Z466" s="1">
        <f>+Y466*'Volcano Summary'!B$19*'Volcano Summary'!B$20/1000</f>
        <v>32400000</v>
      </c>
      <c r="AA466" s="1">
        <f t="shared" si="312"/>
        <v>1071080.3263751988</v>
      </c>
      <c r="AB466" s="3">
        <f t="shared" si="304"/>
        <v>297.52231288199965</v>
      </c>
      <c r="AC466" s="1">
        <f t="shared" si="297"/>
        <v>65784489.902987055</v>
      </c>
      <c r="AD466" s="36">
        <f t="shared" si="298"/>
        <v>18273.469417496402</v>
      </c>
      <c r="AE466" s="36">
        <f t="shared" si="303"/>
        <v>761.3945590623501</v>
      </c>
      <c r="AG466" s="1">
        <f t="shared" si="313"/>
        <v>32400000000</v>
      </c>
      <c r="AH466" s="1">
        <f t="shared" si="299"/>
        <v>32400000</v>
      </c>
      <c r="AI466" s="1">
        <f t="shared" si="300"/>
        <v>32432400000</v>
      </c>
      <c r="AJ466" s="1">
        <f t="shared" si="301"/>
        <v>1101600000000</v>
      </c>
      <c r="AK466" s="1">
        <f t="shared" si="302"/>
        <v>1102701600000</v>
      </c>
      <c r="AL466" s="39">
        <f>+AJ466/('Volcano Summary'!C$8)*10^6</f>
        <v>76476.24243277627</v>
      </c>
      <c r="AM466" s="1">
        <f t="shared" si="314"/>
        <v>761.3945590623501</v>
      </c>
    </row>
    <row r="467" spans="1:39" ht="12.75">
      <c r="A467" s="1">
        <f t="shared" si="293"/>
        <v>1071080.3263751988</v>
      </c>
      <c r="B467" s="1">
        <f t="shared" si="294"/>
        <v>773.5109576059077</v>
      </c>
      <c r="C467" s="1">
        <f t="shared" si="306"/>
        <v>40800</v>
      </c>
      <c r="D467" s="1">
        <f t="shared" si="315"/>
        <v>227.92141940852036</v>
      </c>
      <c r="E467" s="38">
        <f t="shared" si="307"/>
        <v>2406343535.6629424</v>
      </c>
      <c r="F467" s="38">
        <f t="shared" si="308"/>
        <v>1547153843.8997276</v>
      </c>
      <c r="G467" s="38">
        <f t="shared" si="309"/>
        <v>687964152.136513</v>
      </c>
      <c r="H467" s="18">
        <f t="shared" si="316"/>
        <v>0.0021937385318920514</v>
      </c>
      <c r="I467" s="50">
        <f t="shared" si="305"/>
        <v>0.025276479063358656</v>
      </c>
      <c r="J467" s="3">
        <f t="shared" si="317"/>
        <v>7.04499860718526</v>
      </c>
      <c r="K467" s="12">
        <f t="shared" si="291"/>
        <v>0.7876199498586695</v>
      </c>
      <c r="L467" s="3">
        <f t="shared" si="318"/>
        <v>1244.5020129111404</v>
      </c>
      <c r="M467" s="12">
        <f t="shared" si="292"/>
        <v>0.7065399832862231</v>
      </c>
      <c r="N467" s="37">
        <f t="shared" si="319"/>
        <v>57714.42067539125</v>
      </c>
      <c r="O467" s="1">
        <f t="shared" si="310"/>
        <v>287572.10334087786</v>
      </c>
      <c r="P467">
        <f t="shared" si="320"/>
        <v>536.257497235123</v>
      </c>
      <c r="Q467" s="1">
        <f t="shared" si="321"/>
        <v>30949.790785760346</v>
      </c>
      <c r="R467" s="1">
        <f>+Q467*1000/'Material Properties'!AE$35</f>
        <v>26542120.053279173</v>
      </c>
      <c r="S467" s="1">
        <f t="shared" si="322"/>
        <v>650.5421581686072</v>
      </c>
      <c r="T467" s="1">
        <f t="shared" si="323"/>
        <v>264.30739990305483</v>
      </c>
      <c r="U467">
        <f t="shared" si="311"/>
        <v>3.234412012310217E-05</v>
      </c>
      <c r="V467">
        <f>+'Material Properties'!AE$31+'Material Properties'!AE$33</f>
        <v>0.00029034311030761144</v>
      </c>
      <c r="W467">
        <f t="shared" si="295"/>
        <v>0.0003226872304307136</v>
      </c>
      <c r="X467" s="1">
        <f>+'Volcano Summary'!E$12*10^9/Q467/3600/24/365</f>
        <v>0</v>
      </c>
      <c r="Y467" s="3">
        <f t="shared" si="296"/>
        <v>800</v>
      </c>
      <c r="Z467" s="1">
        <f>+Y467*'Volcano Summary'!B$19*'Volcano Summary'!B$20/1000</f>
        <v>32400000</v>
      </c>
      <c r="AA467" s="1">
        <f t="shared" si="312"/>
        <v>1046856.8341633792</v>
      </c>
      <c r="AB467" s="3">
        <f t="shared" si="304"/>
        <v>290.7935650453831</v>
      </c>
      <c r="AC467" s="1">
        <f t="shared" si="297"/>
        <v>66831346.73715044</v>
      </c>
      <c r="AD467" s="36">
        <f t="shared" si="298"/>
        <v>18564.262982541786</v>
      </c>
      <c r="AE467" s="36">
        <f t="shared" si="303"/>
        <v>773.5109576059077</v>
      </c>
      <c r="AG467" s="1">
        <f t="shared" si="313"/>
        <v>32400000000</v>
      </c>
      <c r="AH467" s="1">
        <f t="shared" si="299"/>
        <v>32400000</v>
      </c>
      <c r="AI467" s="1">
        <f t="shared" si="300"/>
        <v>32432400000</v>
      </c>
      <c r="AJ467" s="1">
        <f t="shared" si="301"/>
        <v>1134000000000</v>
      </c>
      <c r="AK467" s="1">
        <f t="shared" si="302"/>
        <v>1135134000000</v>
      </c>
      <c r="AL467" s="39">
        <f>+AJ467/('Volcano Summary'!C$8)*10^6</f>
        <v>78725.5436807991</v>
      </c>
      <c r="AM467" s="1">
        <f t="shared" si="314"/>
        <v>773.5109576059077</v>
      </c>
    </row>
    <row r="468" spans="1:39" ht="12.75">
      <c r="A468" s="1">
        <f aca="true" t="shared" si="324" ref="A468:A531">+AA467</f>
        <v>1046856.8341633792</v>
      </c>
      <c r="B468" s="1">
        <f aca="true" t="shared" si="325" ref="B468:B531">+AE468</f>
        <v>785.3585856010997</v>
      </c>
      <c r="C468" s="1">
        <f t="shared" si="306"/>
        <v>41600</v>
      </c>
      <c r="D468" s="1">
        <f t="shared" si="315"/>
        <v>230.14509567006368</v>
      </c>
      <c r="E468" s="38">
        <f t="shared" si="307"/>
        <v>2429820613.908849</v>
      </c>
      <c r="F468" s="38">
        <f t="shared" si="308"/>
        <v>1562248385.187525</v>
      </c>
      <c r="G468" s="38">
        <f t="shared" si="309"/>
        <v>694676156.4662015</v>
      </c>
      <c r="H468" s="18">
        <f t="shared" si="316"/>
        <v>0.0021725424934398805</v>
      </c>
      <c r="I468" s="50">
        <f t="shared" si="305"/>
        <v>0.02523645686214737</v>
      </c>
      <c r="J468" s="3">
        <f t="shared" si="317"/>
        <v>6.982727491687763</v>
      </c>
      <c r="K468" s="12">
        <f t="shared" si="291"/>
        <v>0.7853781897007596</v>
      </c>
      <c r="L468" s="3">
        <f t="shared" si="318"/>
        <v>1240.959853993653</v>
      </c>
      <c r="M468" s="12">
        <f t="shared" si="292"/>
        <v>0.7057927299002532</v>
      </c>
      <c r="N468" s="37">
        <f t="shared" si="319"/>
        <v>58846.075982751856</v>
      </c>
      <c r="O468" s="1">
        <f t="shared" si="310"/>
        <v>289310.8361732428</v>
      </c>
      <c r="P468">
        <f t="shared" si="320"/>
        <v>537.8762275591316</v>
      </c>
      <c r="Q468" s="1">
        <f t="shared" si="321"/>
        <v>31651.905356260588</v>
      </c>
      <c r="R468" s="1">
        <f>+Q468*1000/'Material Properties'!AE$35</f>
        <v>27144243.969087612</v>
      </c>
      <c r="S468" s="1">
        <f t="shared" si="322"/>
        <v>652.5058646415291</v>
      </c>
      <c r="T468" s="1">
        <f t="shared" si="323"/>
        <v>266.3370503727989</v>
      </c>
      <c r="U468">
        <f t="shared" si="311"/>
        <v>3.209846833750682E-05</v>
      </c>
      <c r="V468">
        <f>+'Material Properties'!AE$31+'Material Properties'!AE$33</f>
        <v>0.00029034311030761144</v>
      </c>
      <c r="W468">
        <f aca="true" t="shared" si="326" ref="W468:W531">+V468+U468</f>
        <v>0.0003224415786451183</v>
      </c>
      <c r="X468" s="1">
        <f>+'Volcano Summary'!E$12*10^9/Q468/3600/24/365</f>
        <v>0</v>
      </c>
      <c r="Y468" s="3">
        <f aca="true" t="shared" si="327" ref="Y468:Y531">+C469-C468</f>
        <v>800</v>
      </c>
      <c r="Z468" s="1">
        <f>+Y468*'Volcano Summary'!B$19*'Volcano Summary'!B$20/1000</f>
        <v>32400000</v>
      </c>
      <c r="AA468" s="1">
        <f t="shared" si="312"/>
        <v>1023635.0587845873</v>
      </c>
      <c r="AB468" s="3">
        <f t="shared" si="304"/>
        <v>284.3430718846076</v>
      </c>
      <c r="AC468" s="1">
        <f aca="true" t="shared" si="328" ref="AC468:AC531">+AC467+AA468</f>
        <v>67854981.79593502</v>
      </c>
      <c r="AD468" s="36">
        <f aca="true" t="shared" si="329" ref="AD468:AD531">+AD467+AB468</f>
        <v>18848.606054426393</v>
      </c>
      <c r="AE468" s="36">
        <f t="shared" si="303"/>
        <v>785.3585856010997</v>
      </c>
      <c r="AG468" s="1">
        <f t="shared" si="313"/>
        <v>32400000000</v>
      </c>
      <c r="AH468" s="1">
        <f aca="true" t="shared" si="330" ref="AH468:AH531">+Z468</f>
        <v>32400000</v>
      </c>
      <c r="AI468" s="1">
        <f aca="true" t="shared" si="331" ref="AI468:AI531">+AH468+AG468</f>
        <v>32432400000</v>
      </c>
      <c r="AJ468" s="1">
        <f aca="true" t="shared" si="332" ref="AJ468:AJ531">+AJ467+AG468</f>
        <v>1166400000000</v>
      </c>
      <c r="AK468" s="1">
        <f aca="true" t="shared" si="333" ref="AK468:AK531">+AK467+AI468</f>
        <v>1167566400000</v>
      </c>
      <c r="AL468" s="39">
        <f>+AJ468/('Volcano Summary'!C$8)*10^6</f>
        <v>80974.84492882193</v>
      </c>
      <c r="AM468" s="1">
        <f t="shared" si="314"/>
        <v>785.3585856010997</v>
      </c>
    </row>
    <row r="469" spans="1:39" ht="12.75">
      <c r="A469" s="1">
        <f t="shared" si="324"/>
        <v>1023635.0587845873</v>
      </c>
      <c r="B469" s="1">
        <f t="shared" si="325"/>
        <v>796.9483498551435</v>
      </c>
      <c r="C469" s="1">
        <f t="shared" si="306"/>
        <v>42400</v>
      </c>
      <c r="D469" s="1">
        <f t="shared" si="315"/>
        <v>232.34749126420732</v>
      </c>
      <c r="E469" s="38">
        <f t="shared" si="307"/>
        <v>2453073015.612442</v>
      </c>
      <c r="F469" s="38">
        <f t="shared" si="308"/>
        <v>1577198471.134295</v>
      </c>
      <c r="G469" s="38">
        <f t="shared" si="309"/>
        <v>701323926.6561478</v>
      </c>
      <c r="H469" s="18">
        <f t="shared" si="316"/>
        <v>0.002151949208831522</v>
      </c>
      <c r="I469" s="50">
        <f t="shared" si="305"/>
        <v>0.02519731998625679</v>
      </c>
      <c r="J469" s="3">
        <f t="shared" si="317"/>
        <v>6.9223352809100005</v>
      </c>
      <c r="K469" s="12">
        <f t="shared" si="291"/>
        <v>0.7832040701127602</v>
      </c>
      <c r="L469" s="3">
        <f t="shared" si="318"/>
        <v>1237.5245725434304</v>
      </c>
      <c r="M469" s="12">
        <f t="shared" si="292"/>
        <v>0.7050680233709201</v>
      </c>
      <c r="N469" s="37">
        <f t="shared" si="319"/>
        <v>59977.73129011247</v>
      </c>
      <c r="O469" s="1">
        <f t="shared" si="310"/>
        <v>291026.9868611049</v>
      </c>
      <c r="P469">
        <f t="shared" si="320"/>
        <v>539.4691713722897</v>
      </c>
      <c r="Q469" s="1">
        <f t="shared" si="321"/>
        <v>32356.136999866823</v>
      </c>
      <c r="R469" s="1">
        <f>+Q469*1000/'Material Properties'!AE$35</f>
        <v>27748183.45802641</v>
      </c>
      <c r="S469" s="1">
        <f t="shared" si="322"/>
        <v>654.4382891043964</v>
      </c>
      <c r="T469" s="1">
        <f t="shared" si="323"/>
        <v>268.290290462862</v>
      </c>
      <c r="U469">
        <f t="shared" si="311"/>
        <v>3.1865562406618164E-05</v>
      </c>
      <c r="V469">
        <f>+'Material Properties'!AE$31+'Material Properties'!AE$33</f>
        <v>0.00029034311030761144</v>
      </c>
      <c r="W469">
        <f t="shared" si="326"/>
        <v>0.00032220867271422963</v>
      </c>
      <c r="X469" s="1">
        <f>+'Volcano Summary'!E$12*10^9/Q469/3600/24/365</f>
        <v>0</v>
      </c>
      <c r="Y469" s="3">
        <f t="shared" si="327"/>
        <v>800</v>
      </c>
      <c r="Z469" s="1">
        <f>+Y469*'Volcano Summary'!B$19*'Volcano Summary'!B$20/1000</f>
        <v>32400000</v>
      </c>
      <c r="AA469" s="1">
        <f t="shared" si="312"/>
        <v>1001355.6315493828</v>
      </c>
      <c r="AB469" s="3">
        <f t="shared" si="304"/>
        <v>278.1543420970508</v>
      </c>
      <c r="AC469" s="1">
        <f t="shared" si="328"/>
        <v>68856337.42748441</v>
      </c>
      <c r="AD469" s="36">
        <f t="shared" si="329"/>
        <v>19126.760396523445</v>
      </c>
      <c r="AE469" s="36">
        <f t="shared" si="303"/>
        <v>796.9483498551435</v>
      </c>
      <c r="AG469" s="1">
        <f t="shared" si="313"/>
        <v>32399999999.999996</v>
      </c>
      <c r="AH469" s="1">
        <f t="shared" si="330"/>
        <v>32400000</v>
      </c>
      <c r="AI469" s="1">
        <f t="shared" si="331"/>
        <v>32432399999.999996</v>
      </c>
      <c r="AJ469" s="1">
        <f t="shared" si="332"/>
        <v>1198800000000</v>
      </c>
      <c r="AK469" s="1">
        <f t="shared" si="333"/>
        <v>1199998800000</v>
      </c>
      <c r="AL469" s="39">
        <f>+AJ469/('Volcano Summary'!C$8)*10^6</f>
        <v>83224.14617684476</v>
      </c>
      <c r="AM469" s="1">
        <f t="shared" si="314"/>
        <v>796.9483498551435</v>
      </c>
    </row>
    <row r="470" spans="1:39" ht="12.75">
      <c r="A470" s="1">
        <f t="shared" si="324"/>
        <v>1001355.6315493828</v>
      </c>
      <c r="B470" s="1">
        <f t="shared" si="325"/>
        <v>808.2905226175795</v>
      </c>
      <c r="C470" s="1">
        <f t="shared" si="306"/>
        <v>43200</v>
      </c>
      <c r="D470" s="1">
        <f t="shared" si="315"/>
        <v>234.52920571340158</v>
      </c>
      <c r="E470" s="38">
        <f t="shared" si="307"/>
        <v>2476107070.3981013</v>
      </c>
      <c r="F470" s="38">
        <f t="shared" si="308"/>
        <v>1592008171.3595836</v>
      </c>
      <c r="G470" s="38">
        <f t="shared" si="309"/>
        <v>707909272.3210661</v>
      </c>
      <c r="H470" s="18">
        <f t="shared" si="316"/>
        <v>0.002131930641555184</v>
      </c>
      <c r="I470" s="50">
        <f t="shared" si="305"/>
        <v>0.025159032509560645</v>
      </c>
      <c r="J470" s="3">
        <f t="shared" si="317"/>
        <v>6.863731231901536</v>
      </c>
      <c r="K470" s="12">
        <f t="shared" si="291"/>
        <v>0.7810943243484554</v>
      </c>
      <c r="L470" s="3">
        <f t="shared" si="318"/>
        <v>1234.1910068422578</v>
      </c>
      <c r="M470" s="12">
        <f t="shared" si="292"/>
        <v>0.7043647747828184</v>
      </c>
      <c r="N470" s="37">
        <f t="shared" si="319"/>
        <v>61109.386597473094</v>
      </c>
      <c r="O470" s="1">
        <f t="shared" si="310"/>
        <v>292721.1956792501</v>
      </c>
      <c r="P470">
        <f t="shared" si="320"/>
        <v>541.0371481508919</v>
      </c>
      <c r="Q470" s="1">
        <f t="shared" si="321"/>
        <v>33062.44824994718</v>
      </c>
      <c r="R470" s="1">
        <f>+Q470*1000/'Material Properties'!AE$35</f>
        <v>28353906.389221143</v>
      </c>
      <c r="S470" s="1">
        <f t="shared" si="322"/>
        <v>656.3404256764153</v>
      </c>
      <c r="T470" s="1">
        <f t="shared" si="323"/>
        <v>270.1714162358646</v>
      </c>
      <c r="U470">
        <f t="shared" si="311"/>
        <v>3.16444283175036E-05</v>
      </c>
      <c r="V470">
        <f>+'Material Properties'!AE$31+'Material Properties'!AE$33</f>
        <v>0.00029034311030761144</v>
      </c>
      <c r="W470">
        <f t="shared" si="326"/>
        <v>0.00032198753862511503</v>
      </c>
      <c r="X470" s="1">
        <f>+'Volcano Summary'!E$12*10^9/Q470/3600/24/365</f>
        <v>0</v>
      </c>
      <c r="Y470" s="3">
        <f t="shared" si="327"/>
        <v>800</v>
      </c>
      <c r="Z470" s="1">
        <f>+Y470*'Volcano Summary'!B$19*'Volcano Summary'!B$20/1000</f>
        <v>32400000</v>
      </c>
      <c r="AA470" s="1">
        <f t="shared" si="312"/>
        <v>979963.7266744685</v>
      </c>
      <c r="AB470" s="3">
        <f t="shared" si="304"/>
        <v>272.2121462984635</v>
      </c>
      <c r="AC470" s="1">
        <f t="shared" si="328"/>
        <v>69836301.15415888</v>
      </c>
      <c r="AD470" s="36">
        <f t="shared" si="329"/>
        <v>19398.97254282191</v>
      </c>
      <c r="AE470" s="36">
        <f t="shared" si="303"/>
        <v>808.2905226175795</v>
      </c>
      <c r="AG470" s="1">
        <f t="shared" si="313"/>
        <v>32399999999.999996</v>
      </c>
      <c r="AH470" s="1">
        <f t="shared" si="330"/>
        <v>32400000</v>
      </c>
      <c r="AI470" s="1">
        <f t="shared" si="331"/>
        <v>32432399999.999996</v>
      </c>
      <c r="AJ470" s="1">
        <f t="shared" si="332"/>
        <v>1231200000000</v>
      </c>
      <c r="AK470" s="1">
        <f t="shared" si="333"/>
        <v>1232431200000</v>
      </c>
      <c r="AL470" s="39">
        <f>+AJ470/('Volcano Summary'!C$8)*10^6</f>
        <v>85473.4474248676</v>
      </c>
      <c r="AM470" s="1">
        <f t="shared" si="314"/>
        <v>808.2905226175795</v>
      </c>
    </row>
    <row r="471" spans="1:39" ht="12.75">
      <c r="A471" s="1">
        <f t="shared" si="324"/>
        <v>979963.7266744685</v>
      </c>
      <c r="B471" s="1">
        <f t="shared" si="325"/>
        <v>819.3947892616837</v>
      </c>
      <c r="C471" s="1">
        <f t="shared" si="306"/>
        <v>44000</v>
      </c>
      <c r="D471" s="1">
        <f t="shared" si="315"/>
        <v>236.6908109081279</v>
      </c>
      <c r="E471" s="38">
        <f t="shared" si="307"/>
        <v>2498928816.1580377</v>
      </c>
      <c r="F471" s="38">
        <f t="shared" si="308"/>
        <v>1606681367.9143143</v>
      </c>
      <c r="G471" s="38">
        <f t="shared" si="309"/>
        <v>714433919.6705911</v>
      </c>
      <c r="H471" s="18">
        <f t="shared" si="316"/>
        <v>0.0021124605475033678</v>
      </c>
      <c r="I471" s="50">
        <f t="shared" si="305"/>
        <v>0.0251215605996447</v>
      </c>
      <c r="J471" s="3">
        <f t="shared" si="317"/>
        <v>6.806830565846448</v>
      </c>
      <c r="K471" s="12">
        <f t="shared" si="291"/>
        <v>0.7790459003704723</v>
      </c>
      <c r="L471" s="3">
        <f t="shared" si="318"/>
        <v>1230.9543344289284</v>
      </c>
      <c r="M471" s="12">
        <f t="shared" si="292"/>
        <v>0.7036819667901575</v>
      </c>
      <c r="N471" s="37">
        <f t="shared" si="319"/>
        <v>62241.04190483369</v>
      </c>
      <c r="O471" s="1">
        <f t="shared" si="310"/>
        <v>294394.07400775724</v>
      </c>
      <c r="P471">
        <f t="shared" si="320"/>
        <v>542.580937748238</v>
      </c>
      <c r="Q471" s="1">
        <f t="shared" si="321"/>
        <v>33770.802883152035</v>
      </c>
      <c r="R471" s="1">
        <f>+Q471*1000/'Material Properties'!AE$35</f>
        <v>28961381.698019356</v>
      </c>
      <c r="S471" s="1">
        <f t="shared" si="322"/>
        <v>658.2132204095308</v>
      </c>
      <c r="T471" s="1">
        <f t="shared" si="323"/>
        <v>271.98440664880843</v>
      </c>
      <c r="U471">
        <f t="shared" si="311"/>
        <v>3.143418894960687E-05</v>
      </c>
      <c r="V471">
        <f>+'Material Properties'!AE$31+'Material Properties'!AE$33</f>
        <v>0.00029034311030761144</v>
      </c>
      <c r="W471">
        <f t="shared" si="326"/>
        <v>0.0003217772992572183</v>
      </c>
      <c r="X471" s="1">
        <f>+'Volcano Summary'!E$12*10^9/Q471/3600/24/365</f>
        <v>0</v>
      </c>
      <c r="Y471" s="3">
        <f t="shared" si="327"/>
        <v>800</v>
      </c>
      <c r="Z471" s="1">
        <f>+Y471*'Volcano Summary'!B$19*'Volcano Summary'!B$20/1000</f>
        <v>32400000</v>
      </c>
      <c r="AA471" s="1">
        <f t="shared" si="312"/>
        <v>959408.638050595</v>
      </c>
      <c r="AB471" s="3">
        <f t="shared" si="304"/>
        <v>266.5023994584986</v>
      </c>
      <c r="AC471" s="1">
        <f t="shared" si="328"/>
        <v>70795709.79220948</v>
      </c>
      <c r="AD471" s="36">
        <f t="shared" si="329"/>
        <v>19665.47494228041</v>
      </c>
      <c r="AE471" s="36">
        <f t="shared" si="303"/>
        <v>819.3947892616837</v>
      </c>
      <c r="AG471" s="1">
        <f t="shared" si="313"/>
        <v>32400000000</v>
      </c>
      <c r="AH471" s="1">
        <f t="shared" si="330"/>
        <v>32400000</v>
      </c>
      <c r="AI471" s="1">
        <f t="shared" si="331"/>
        <v>32432400000</v>
      </c>
      <c r="AJ471" s="1">
        <f t="shared" si="332"/>
        <v>1263600000000</v>
      </c>
      <c r="AK471" s="1">
        <f t="shared" si="333"/>
        <v>1264863600000</v>
      </c>
      <c r="AL471" s="39">
        <f>+AJ471/('Volcano Summary'!C$8)*10^6</f>
        <v>87722.74867289043</v>
      </c>
      <c r="AM471" s="1">
        <f t="shared" si="314"/>
        <v>819.3947892616837</v>
      </c>
    </row>
    <row r="472" spans="1:39" ht="12.75">
      <c r="A472" s="1">
        <f t="shared" si="324"/>
        <v>959408.638050595</v>
      </c>
      <c r="B472" s="1">
        <f t="shared" si="325"/>
        <v>830.270291602421</v>
      </c>
      <c r="C472" s="1">
        <f t="shared" si="306"/>
        <v>44800</v>
      </c>
      <c r="D472" s="1">
        <f t="shared" si="315"/>
        <v>238.83285285767386</v>
      </c>
      <c r="E472" s="38">
        <f t="shared" si="307"/>
        <v>2521544017.5365887</v>
      </c>
      <c r="F472" s="38">
        <f t="shared" si="308"/>
        <v>1621221767.1652265</v>
      </c>
      <c r="G472" s="38">
        <f t="shared" si="309"/>
        <v>720899516.793865</v>
      </c>
      <c r="H472" s="18">
        <f t="shared" si="316"/>
        <v>0.0020935143302833713</v>
      </c>
      <c r="I472" s="50">
        <f t="shared" si="305"/>
        <v>0.025084872360135926</v>
      </c>
      <c r="J472" s="3">
        <f t="shared" si="317"/>
        <v>6.751553975927381</v>
      </c>
      <c r="K472" s="12">
        <f t="shared" si="291"/>
        <v>0.7770559431333859</v>
      </c>
      <c r="L472" s="3">
        <f t="shared" si="318"/>
        <v>1227.8100441051429</v>
      </c>
      <c r="M472" s="12">
        <f t="shared" si="292"/>
        <v>0.7030186477111287</v>
      </c>
      <c r="N472" s="37">
        <f t="shared" si="319"/>
        <v>63372.69721219431</v>
      </c>
      <c r="O472" s="1">
        <f t="shared" si="310"/>
        <v>296046.20612226194</v>
      </c>
      <c r="P472">
        <f t="shared" si="320"/>
        <v>544.1012829632567</v>
      </c>
      <c r="Q472" s="1">
        <f t="shared" si="321"/>
        <v>34481.16585799692</v>
      </c>
      <c r="R472" s="1">
        <f>+Q472*1000/'Material Properties'!AE$35</f>
        <v>29570579.33332009</v>
      </c>
      <c r="S472" s="1">
        <f t="shared" si="322"/>
        <v>660.0575744044662</v>
      </c>
      <c r="T472" s="1">
        <f t="shared" si="323"/>
        <v>273.732952294377</v>
      </c>
      <c r="U472">
        <f t="shared" si="311"/>
        <v>3.123405231723764E-05</v>
      </c>
      <c r="V472">
        <f>+'Material Properties'!AE$31+'Material Properties'!AE$33</f>
        <v>0.00029034311030761144</v>
      </c>
      <c r="W472">
        <f t="shared" si="326"/>
        <v>0.0003215771626248491</v>
      </c>
      <c r="X472" s="1">
        <f>+'Volcano Summary'!E$12*10^9/Q472/3600/24/365</f>
        <v>0</v>
      </c>
      <c r="Y472" s="3">
        <f t="shared" si="327"/>
        <v>800</v>
      </c>
      <c r="Z472" s="1">
        <f>+Y472*'Volcano Summary'!B$19*'Volcano Summary'!B$20/1000</f>
        <v>32400000</v>
      </c>
      <c r="AA472" s="1">
        <f t="shared" si="312"/>
        <v>939643.4022397113</v>
      </c>
      <c r="AB472" s="3">
        <f t="shared" si="304"/>
        <v>261.01205617769756</v>
      </c>
      <c r="AC472" s="1">
        <f t="shared" si="328"/>
        <v>71735353.19444919</v>
      </c>
      <c r="AD472" s="36">
        <f t="shared" si="329"/>
        <v>19926.486998458106</v>
      </c>
      <c r="AE472" s="36">
        <f t="shared" si="303"/>
        <v>830.270291602421</v>
      </c>
      <c r="AG472" s="1">
        <f t="shared" si="313"/>
        <v>32400000000</v>
      </c>
      <c r="AH472" s="1">
        <f t="shared" si="330"/>
        <v>32400000</v>
      </c>
      <c r="AI472" s="1">
        <f t="shared" si="331"/>
        <v>32432400000</v>
      </c>
      <c r="AJ472" s="1">
        <f t="shared" si="332"/>
        <v>1296000000000</v>
      </c>
      <c r="AK472" s="1">
        <f t="shared" si="333"/>
        <v>1297296000000</v>
      </c>
      <c r="AL472" s="39">
        <f>+AJ472/('Volcano Summary'!C$8)*10^6</f>
        <v>89972.04992091325</v>
      </c>
      <c r="AM472" s="1">
        <f t="shared" si="314"/>
        <v>830.270291602421</v>
      </c>
    </row>
    <row r="473" spans="1:39" ht="12.75">
      <c r="A473" s="1">
        <f t="shared" si="324"/>
        <v>939643.4022397113</v>
      </c>
      <c r="B473" s="1">
        <f t="shared" si="325"/>
        <v>840.925667319255</v>
      </c>
      <c r="C473" s="1">
        <f t="shared" si="306"/>
        <v>45600</v>
      </c>
      <c r="D473" s="1">
        <f t="shared" si="315"/>
        <v>240.95585330081406</v>
      </c>
      <c r="E473" s="38">
        <f t="shared" si="307"/>
        <v>2543958182.935424</v>
      </c>
      <c r="F473" s="38">
        <f t="shared" si="308"/>
        <v>1635632910.7283416</v>
      </c>
      <c r="G473" s="38">
        <f t="shared" si="309"/>
        <v>727307638.5212597</v>
      </c>
      <c r="H473" s="18">
        <f t="shared" si="316"/>
        <v>0.0020750689105518017</v>
      </c>
      <c r="I473" s="50">
        <f t="shared" si="305"/>
        <v>0.025048937687492574</v>
      </c>
      <c r="J473" s="3">
        <f t="shared" si="317"/>
        <v>6.697827183766519</v>
      </c>
      <c r="K473" s="12">
        <f t="shared" si="291"/>
        <v>0.7751217786155948</v>
      </c>
      <c r="L473" s="3">
        <f t="shared" si="318"/>
        <v>1224.753910704606</v>
      </c>
      <c r="M473" s="12">
        <f t="shared" si="292"/>
        <v>0.7023739262051983</v>
      </c>
      <c r="N473" s="37">
        <f t="shared" si="319"/>
        <v>64504.35251955492</v>
      </c>
      <c r="O473" s="1">
        <f t="shared" si="310"/>
        <v>297678.1508438119</v>
      </c>
      <c r="P473">
        <f t="shared" si="320"/>
        <v>545.5988919011951</v>
      </c>
      <c r="Q473" s="1">
        <f t="shared" si="321"/>
        <v>35193.50325747323</v>
      </c>
      <c r="R473" s="1">
        <f>+Q473*1000/'Material Properties'!AE$35</f>
        <v>30181470.20835759</v>
      </c>
      <c r="S473" s="1">
        <f t="shared" si="322"/>
        <v>661.8743466745086</v>
      </c>
      <c r="T473" s="1">
        <f t="shared" si="323"/>
        <v>275.4204810728463</v>
      </c>
      <c r="U473">
        <f t="shared" si="311"/>
        <v>3.1043301483463364E-05</v>
      </c>
      <c r="V473">
        <f>+'Material Properties'!AE$31+'Material Properties'!AE$33</f>
        <v>0.00029034311030761144</v>
      </c>
      <c r="W473">
        <f t="shared" si="326"/>
        <v>0.0003213864117910748</v>
      </c>
      <c r="X473" s="1">
        <f>+'Volcano Summary'!E$12*10^9/Q473/3600/24/365</f>
        <v>0</v>
      </c>
      <c r="Y473" s="3">
        <f t="shared" si="327"/>
        <v>800</v>
      </c>
      <c r="Z473" s="1">
        <f>+Y473*'Volcano Summary'!B$19*'Volcano Summary'!B$20/1000</f>
        <v>32400000</v>
      </c>
      <c r="AA473" s="1">
        <f t="shared" si="312"/>
        <v>920624.4619344611</v>
      </c>
      <c r="AB473" s="3">
        <f t="shared" si="304"/>
        <v>255.729017204017</v>
      </c>
      <c r="AC473" s="1">
        <f t="shared" si="328"/>
        <v>72655977.65638365</v>
      </c>
      <c r="AD473" s="36">
        <f t="shared" si="329"/>
        <v>20182.21601566212</v>
      </c>
      <c r="AE473" s="36">
        <f t="shared" si="303"/>
        <v>840.925667319255</v>
      </c>
      <c r="AG473" s="1">
        <f t="shared" si="313"/>
        <v>32400000000</v>
      </c>
      <c r="AH473" s="1">
        <f t="shared" si="330"/>
        <v>32400000</v>
      </c>
      <c r="AI473" s="1">
        <f t="shared" si="331"/>
        <v>32432400000</v>
      </c>
      <c r="AJ473" s="1">
        <f t="shared" si="332"/>
        <v>1328400000000</v>
      </c>
      <c r="AK473" s="1">
        <f t="shared" si="333"/>
        <v>1329728400000</v>
      </c>
      <c r="AL473" s="39">
        <f>+AJ473/('Volcano Summary'!C$8)*10^6</f>
        <v>92221.35116893609</v>
      </c>
      <c r="AM473" s="1">
        <f t="shared" si="314"/>
        <v>840.925667319255</v>
      </c>
    </row>
    <row r="474" spans="1:39" ht="12.75">
      <c r="A474" s="1">
        <f t="shared" si="324"/>
        <v>920624.4619344611</v>
      </c>
      <c r="B474" s="1">
        <f t="shared" si="325"/>
        <v>851.3690858947061</v>
      </c>
      <c r="C474" s="1">
        <f t="shared" si="306"/>
        <v>46400</v>
      </c>
      <c r="D474" s="1">
        <f t="shared" si="315"/>
        <v>243.06031118985993</v>
      </c>
      <c r="E474" s="38">
        <f t="shared" si="307"/>
        <v>2566176580.181818</v>
      </c>
      <c r="F474" s="38">
        <f t="shared" si="308"/>
        <v>1649918185.5428452</v>
      </c>
      <c r="G474" s="38">
        <f t="shared" si="309"/>
        <v>733659790.903873</v>
      </c>
      <c r="H474" s="18">
        <f t="shared" si="316"/>
        <v>0.002057102607794485</v>
      </c>
      <c r="I474" s="50">
        <f t="shared" si="305"/>
        <v>0.025013728140699916</v>
      </c>
      <c r="J474" s="3">
        <f t="shared" si="317"/>
        <v>6.645580538889611</v>
      </c>
      <c r="K474" s="12">
        <f t="shared" si="291"/>
        <v>0.7732408994000262</v>
      </c>
      <c r="L474" s="3">
        <f t="shared" si="318"/>
        <v>1221.7819723093965</v>
      </c>
      <c r="M474" s="12">
        <f t="shared" si="292"/>
        <v>0.7017469664666754</v>
      </c>
      <c r="N474" s="37">
        <f t="shared" si="319"/>
        <v>65636.00782691553</v>
      </c>
      <c r="O474" s="1">
        <f t="shared" si="310"/>
        <v>299290.4430615702</v>
      </c>
      <c r="P474">
        <f t="shared" si="320"/>
        <v>547.0744401464668</v>
      </c>
      <c r="Q474" s="1">
        <f t="shared" si="321"/>
        <v>35907.78223535893</v>
      </c>
      <c r="R474" s="1">
        <f>+Q474*1000/'Material Properties'!AE$35</f>
        <v>30794026.15465815</v>
      </c>
      <c r="S474" s="1">
        <f t="shared" si="322"/>
        <v>663.6643567814257</v>
      </c>
      <c r="T474" s="1">
        <f t="shared" si="323"/>
        <v>277.05018117014083</v>
      </c>
      <c r="U474">
        <f t="shared" si="311"/>
        <v>3.086128587464109E-05</v>
      </c>
      <c r="V474">
        <f>+'Material Properties'!AE$31+'Material Properties'!AE$33</f>
        <v>0.00029034311030761144</v>
      </c>
      <c r="W474">
        <f t="shared" si="326"/>
        <v>0.00032120439618225254</v>
      </c>
      <c r="X474" s="1">
        <f>+'Volcano Summary'!E$12*10^9/Q474/3600/24/365</f>
        <v>0</v>
      </c>
      <c r="Y474" s="3">
        <f t="shared" si="327"/>
        <v>800</v>
      </c>
      <c r="Z474" s="1">
        <f>+Y474*'Volcano Summary'!B$19*'Volcano Summary'!B$20/1000</f>
        <v>32400000</v>
      </c>
      <c r="AA474" s="1">
        <f t="shared" si="312"/>
        <v>902311.3649189739</v>
      </c>
      <c r="AB474" s="3">
        <f t="shared" si="304"/>
        <v>250.6420458108261</v>
      </c>
      <c r="AC474" s="1">
        <f t="shared" si="328"/>
        <v>73558289.02130263</v>
      </c>
      <c r="AD474" s="36">
        <f t="shared" si="329"/>
        <v>20432.858061472947</v>
      </c>
      <c r="AE474" s="36">
        <f t="shared" si="303"/>
        <v>851.3690858947061</v>
      </c>
      <c r="AG474" s="1">
        <f t="shared" si="313"/>
        <v>32400000000</v>
      </c>
      <c r="AH474" s="1">
        <f t="shared" si="330"/>
        <v>32400000</v>
      </c>
      <c r="AI474" s="1">
        <f t="shared" si="331"/>
        <v>32432400000</v>
      </c>
      <c r="AJ474" s="1">
        <f t="shared" si="332"/>
        <v>1360800000000</v>
      </c>
      <c r="AK474" s="1">
        <f t="shared" si="333"/>
        <v>1362160800000</v>
      </c>
      <c r="AL474" s="39">
        <f>+AJ474/('Volcano Summary'!C$8)*10^6</f>
        <v>94470.65241695892</v>
      </c>
      <c r="AM474" s="1">
        <f t="shared" si="314"/>
        <v>851.3690858947061</v>
      </c>
    </row>
    <row r="475" spans="1:39" ht="12.75">
      <c r="A475" s="1">
        <f t="shared" si="324"/>
        <v>902311.3649189739</v>
      </c>
      <c r="B475" s="1">
        <f t="shared" si="325"/>
        <v>861.6082814300242</v>
      </c>
      <c r="C475" s="1">
        <f t="shared" si="306"/>
        <v>47200</v>
      </c>
      <c r="D475" s="1">
        <f t="shared" si="315"/>
        <v>245.14670406003765</v>
      </c>
      <c r="E475" s="38">
        <f t="shared" si="307"/>
        <v>2588204250.9862304</v>
      </c>
      <c r="F475" s="38">
        <f t="shared" si="308"/>
        <v>1664080833.1665628</v>
      </c>
      <c r="G475" s="38">
        <f t="shared" si="309"/>
        <v>739957415.3468956</v>
      </c>
      <c r="H475" s="18">
        <f t="shared" si="316"/>
        <v>0.0020395950331746964</v>
      </c>
      <c r="I475" s="50">
        <f t="shared" si="305"/>
        <v>0.024979216822507547</v>
      </c>
      <c r="J475" s="3">
        <f t="shared" si="317"/>
        <v>6.594748656378021</v>
      </c>
      <c r="K475" s="12">
        <f t="shared" si="291"/>
        <v>0.7714109516296089</v>
      </c>
      <c r="L475" s="3">
        <f t="shared" si="318"/>
        <v>1218.8905096385804</v>
      </c>
      <c r="M475" s="12">
        <f t="shared" si="292"/>
        <v>0.7011369838765363</v>
      </c>
      <c r="N475" s="37">
        <f t="shared" si="319"/>
        <v>66767.66313427614</v>
      </c>
      <c r="O475" s="1">
        <f t="shared" si="310"/>
        <v>300883.5951401678</v>
      </c>
      <c r="P475">
        <f t="shared" si="320"/>
        <v>548.5285727655104</v>
      </c>
      <c r="Q475" s="1">
        <f t="shared" si="321"/>
        <v>36623.97096593287</v>
      </c>
      <c r="R475" s="1">
        <f>+Q475*1000/'Material Properties'!AE$35</f>
        <v>31408219.878915735</v>
      </c>
      <c r="S475" s="1">
        <f t="shared" si="322"/>
        <v>665.4283872651639</v>
      </c>
      <c r="T475" s="1">
        <f t="shared" si="323"/>
        <v>278.62502166598404</v>
      </c>
      <c r="U475">
        <f t="shared" si="311"/>
        <v>3.068741377381981E-05</v>
      </c>
      <c r="V475">
        <f>+'Material Properties'!AE$31+'Material Properties'!AE$33</f>
        <v>0.00029034311030761144</v>
      </c>
      <c r="W475">
        <f t="shared" si="326"/>
        <v>0.0003210305240814313</v>
      </c>
      <c r="X475" s="1">
        <f>+'Volcano Summary'!E$12*10^9/Q475/3600/24/365</f>
        <v>0</v>
      </c>
      <c r="Y475" s="3">
        <f t="shared" si="327"/>
        <v>800</v>
      </c>
      <c r="Z475" s="1">
        <f>+Y475*'Volcano Summary'!B$19*'Volcano Summary'!B$20/1000</f>
        <v>32400000</v>
      </c>
      <c r="AA475" s="1">
        <f t="shared" si="312"/>
        <v>884666.4942514847</v>
      </c>
      <c r="AB475" s="3">
        <f t="shared" si="304"/>
        <v>245.74069284763465</v>
      </c>
      <c r="AC475" s="1">
        <f t="shared" si="328"/>
        <v>74442955.51555412</v>
      </c>
      <c r="AD475" s="36">
        <f t="shared" si="329"/>
        <v>20678.59875432058</v>
      </c>
      <c r="AE475" s="36">
        <f t="shared" si="303"/>
        <v>861.6082814300242</v>
      </c>
      <c r="AG475" s="1">
        <f t="shared" si="313"/>
        <v>32400000000</v>
      </c>
      <c r="AH475" s="1">
        <f t="shared" si="330"/>
        <v>32400000</v>
      </c>
      <c r="AI475" s="1">
        <f t="shared" si="331"/>
        <v>32432400000</v>
      </c>
      <c r="AJ475" s="1">
        <f t="shared" si="332"/>
        <v>1393200000000</v>
      </c>
      <c r="AK475" s="1">
        <f t="shared" si="333"/>
        <v>1394593200000</v>
      </c>
      <c r="AL475" s="39">
        <f>+AJ475/('Volcano Summary'!C$8)*10^6</f>
        <v>96719.95366498175</v>
      </c>
      <c r="AM475" s="1">
        <f t="shared" si="314"/>
        <v>861.6082814300242</v>
      </c>
    </row>
    <row r="476" spans="1:39" ht="12.75">
      <c r="A476" s="1">
        <f t="shared" si="324"/>
        <v>884666.4942514847</v>
      </c>
      <c r="B476" s="1">
        <f t="shared" si="325"/>
        <v>871.6505826565002</v>
      </c>
      <c r="C476" s="1">
        <f t="shared" si="306"/>
        <v>48000</v>
      </c>
      <c r="D476" s="1">
        <f t="shared" si="315"/>
        <v>247.21548929484135</v>
      </c>
      <c r="E476" s="38">
        <f t="shared" si="307"/>
        <v>2610046024.3016295</v>
      </c>
      <c r="F476" s="38">
        <f t="shared" si="308"/>
        <v>1678123958.3653083</v>
      </c>
      <c r="G476" s="38">
        <f t="shared" si="309"/>
        <v>746201892.4289871</v>
      </c>
      <c r="H476" s="18">
        <f t="shared" si="316"/>
        <v>0.00202252699224552</v>
      </c>
      <c r="I476" s="50">
        <f t="shared" si="305"/>
        <v>0.02494537827100877</v>
      </c>
      <c r="J476" s="3">
        <f t="shared" si="317"/>
        <v>6.545270088489012</v>
      </c>
      <c r="K476" s="12">
        <f t="shared" si="291"/>
        <v>0.7696297231856045</v>
      </c>
      <c r="L476" s="3">
        <f t="shared" si="318"/>
        <v>1216.0760273690341</v>
      </c>
      <c r="M476" s="12">
        <f t="shared" si="292"/>
        <v>0.7005432410618682</v>
      </c>
      <c r="N476" s="37">
        <f t="shared" si="319"/>
        <v>67899.31844163677</v>
      </c>
      <c r="O476" s="1">
        <f t="shared" si="310"/>
        <v>302458.0982222315</v>
      </c>
      <c r="P476">
        <f t="shared" si="320"/>
        <v>549.9619061555368</v>
      </c>
      <c r="Q476" s="1">
        <f t="shared" si="321"/>
        <v>37342.03859682435</v>
      </c>
      <c r="R476" s="1">
        <f>+Q476*1000/'Material Properties'!AE$35</f>
        <v>32024024.922556423</v>
      </c>
      <c r="S476" s="1">
        <f t="shared" si="322"/>
        <v>667.1671858865922</v>
      </c>
      <c r="T476" s="1">
        <f t="shared" si="323"/>
        <v>280.14777105235476</v>
      </c>
      <c r="U476">
        <f t="shared" si="311"/>
        <v>3.052114581048242E-05</v>
      </c>
      <c r="V476">
        <f>+'Material Properties'!AE$31+'Material Properties'!AE$33</f>
        <v>0.00029034311030761144</v>
      </c>
      <c r="W476">
        <f t="shared" si="326"/>
        <v>0.0003208642561180939</v>
      </c>
      <c r="X476" s="1">
        <f>+'Volcano Summary'!E$12*10^9/Q476/3600/24/365</f>
        <v>0</v>
      </c>
      <c r="Y476" s="3">
        <f t="shared" si="327"/>
        <v>800</v>
      </c>
      <c r="Z476" s="1">
        <f>+Y476*'Volcano Summary'!B$19*'Volcano Summary'!B$20/1000</f>
        <v>32400000</v>
      </c>
      <c r="AA476" s="1">
        <f t="shared" si="312"/>
        <v>867654.8259675187</v>
      </c>
      <c r="AB476" s="3">
        <f t="shared" si="304"/>
        <v>241.01522943542187</v>
      </c>
      <c r="AC476" s="1">
        <f t="shared" si="328"/>
        <v>75310610.34152164</v>
      </c>
      <c r="AD476" s="36">
        <f t="shared" si="329"/>
        <v>20919.613983756004</v>
      </c>
      <c r="AE476" s="36">
        <f t="shared" si="303"/>
        <v>871.6505826565002</v>
      </c>
      <c r="AG476" s="1">
        <f t="shared" si="313"/>
        <v>32400000000</v>
      </c>
      <c r="AH476" s="1">
        <f t="shared" si="330"/>
        <v>32400000</v>
      </c>
      <c r="AI476" s="1">
        <f t="shared" si="331"/>
        <v>32432400000</v>
      </c>
      <c r="AJ476" s="1">
        <f t="shared" si="332"/>
        <v>1425600000000</v>
      </c>
      <c r="AK476" s="1">
        <f t="shared" si="333"/>
        <v>1427025600000</v>
      </c>
      <c r="AL476" s="39">
        <f>+AJ476/('Volcano Summary'!C$8)*10^6</f>
        <v>98969.25491300458</v>
      </c>
      <c r="AM476" s="1">
        <f t="shared" si="314"/>
        <v>871.6505826565002</v>
      </c>
    </row>
    <row r="477" spans="1:39" ht="12.75">
      <c r="A477" s="1">
        <f t="shared" si="324"/>
        <v>867654.8259675187</v>
      </c>
      <c r="B477" s="1">
        <f t="shared" si="325"/>
        <v>881.5029404237949</v>
      </c>
      <c r="C477" s="1">
        <f t="shared" si="306"/>
        <v>48800</v>
      </c>
      <c r="D477" s="1">
        <f t="shared" si="315"/>
        <v>249.2671052968601</v>
      </c>
      <c r="E477" s="38">
        <f t="shared" si="307"/>
        <v>2631706528.6848164</v>
      </c>
      <c r="F477" s="38">
        <f t="shared" si="308"/>
        <v>1692050537.060574</v>
      </c>
      <c r="G477" s="38">
        <f t="shared" si="309"/>
        <v>752394545.436332</v>
      </c>
      <c r="H477" s="18">
        <f t="shared" si="316"/>
        <v>0.0020058803964708226</v>
      </c>
      <c r="I477" s="50">
        <f t="shared" si="305"/>
        <v>0.024912188360505152</v>
      </c>
      <c r="J477" s="3">
        <f t="shared" si="317"/>
        <v>6.497087026552588</v>
      </c>
      <c r="K477" s="12">
        <f t="shared" si="291"/>
        <v>0.7678951329558933</v>
      </c>
      <c r="L477" s="3">
        <f t="shared" si="318"/>
        <v>1213.3352371784872</v>
      </c>
      <c r="M477" s="12">
        <f t="shared" si="292"/>
        <v>0.6999650443186312</v>
      </c>
      <c r="N477" s="37">
        <f t="shared" si="319"/>
        <v>69030.97374899738</v>
      </c>
      <c r="O477" s="1">
        <f t="shared" si="310"/>
        <v>304014.423435494</v>
      </c>
      <c r="P477">
        <f t="shared" si="320"/>
        <v>551.3750297533377</v>
      </c>
      <c r="Q477" s="1">
        <f t="shared" si="321"/>
        <v>38061.9552047553</v>
      </c>
      <c r="R477" s="1">
        <f>+Q477*1000/'Material Properties'!AE$35</f>
        <v>32641415.62378353</v>
      </c>
      <c r="S477" s="1">
        <f t="shared" si="322"/>
        <v>668.8814677004822</v>
      </c>
      <c r="T477" s="1">
        <f t="shared" si="323"/>
        <v>281.6210139052424</v>
      </c>
      <c r="U477">
        <f t="shared" si="311"/>
        <v>3.0361989295695466E-05</v>
      </c>
      <c r="V477">
        <f>+'Material Properties'!AE$31+'Material Properties'!AE$33</f>
        <v>0.00029034311030761144</v>
      </c>
      <c r="W477">
        <f t="shared" si="326"/>
        <v>0.0003207050996033069</v>
      </c>
      <c r="X477" s="1">
        <f>+'Volcano Summary'!E$12*10^9/Q477/3600/24/365</f>
        <v>0</v>
      </c>
      <c r="Y477" s="3">
        <f t="shared" si="327"/>
        <v>800</v>
      </c>
      <c r="Z477" s="1">
        <f>+Y477*'Volcano Summary'!B$19*'Volcano Summary'!B$20/1000</f>
        <v>32400000</v>
      </c>
      <c r="AA477" s="1">
        <f t="shared" si="312"/>
        <v>851243.7110942762</v>
      </c>
      <c r="AB477" s="3">
        <f t="shared" si="304"/>
        <v>236.4565864150767</v>
      </c>
      <c r="AC477" s="1">
        <f t="shared" si="328"/>
        <v>76161854.05261591</v>
      </c>
      <c r="AD477" s="36">
        <f t="shared" si="329"/>
        <v>21156.07057017108</v>
      </c>
      <c r="AE477" s="36">
        <f t="shared" si="303"/>
        <v>881.5029404237949</v>
      </c>
      <c r="AG477" s="1">
        <f t="shared" si="313"/>
        <v>32400000000.000004</v>
      </c>
      <c r="AH477" s="1">
        <f t="shared" si="330"/>
        <v>32400000</v>
      </c>
      <c r="AI477" s="1">
        <f t="shared" si="331"/>
        <v>32432400000.000004</v>
      </c>
      <c r="AJ477" s="1">
        <f t="shared" si="332"/>
        <v>1458000000000</v>
      </c>
      <c r="AK477" s="1">
        <f t="shared" si="333"/>
        <v>1459458000000</v>
      </c>
      <c r="AL477" s="39">
        <f>+AJ477/('Volcano Summary'!C$8)*10^6</f>
        <v>101218.55616102742</v>
      </c>
      <c r="AM477" s="1">
        <f t="shared" si="314"/>
        <v>881.5029404237949</v>
      </c>
    </row>
    <row r="478" spans="1:39" ht="12.75">
      <c r="A478" s="1">
        <f t="shared" si="324"/>
        <v>851243.7110942762</v>
      </c>
      <c r="B478" s="1">
        <f t="shared" si="325"/>
        <v>890.9008001373849</v>
      </c>
      <c r="C478" s="1">
        <f t="shared" si="306"/>
        <v>49600</v>
      </c>
      <c r="D478" s="1">
        <f t="shared" si="315"/>
        <v>251.3019725725687</v>
      </c>
      <c r="E478" s="38">
        <f t="shared" si="307"/>
        <v>2653190203.7494087</v>
      </c>
      <c r="F478" s="38">
        <f t="shared" si="308"/>
        <v>1705863423.6932056</v>
      </c>
      <c r="G478" s="38">
        <f t="shared" si="309"/>
        <v>758536643.6370019</v>
      </c>
      <c r="H478" s="18">
        <f t="shared" si="316"/>
        <v>0.001989638182627534</v>
      </c>
      <c r="I478" s="50">
        <f t="shared" si="305"/>
        <v>0.024879624210722654</v>
      </c>
      <c r="J478" s="3">
        <f t="shared" si="317"/>
        <v>6.450145029907822</v>
      </c>
      <c r="K478" s="12">
        <f>0.642-(3-J478)*(0.642-0.593)</f>
        <v>0.8110571064654835</v>
      </c>
      <c r="L478" s="3">
        <f t="shared" si="318"/>
        <v>1281.5345799243648</v>
      </c>
      <c r="M478" s="12">
        <f>0.658-(3-J478)*(0.658-0.635)</f>
        <v>0.73735333568788</v>
      </c>
      <c r="N478" s="37">
        <f t="shared" si="319"/>
        <v>70162.62905635798</v>
      </c>
      <c r="O478" s="1">
        <f t="shared" si="310"/>
        <v>323439.3918229771</v>
      </c>
      <c r="P478">
        <f t="shared" si="320"/>
        <v>568.7173215429411</v>
      </c>
      <c r="Q478" s="1">
        <f t="shared" si="321"/>
        <v>39902.70246934285</v>
      </c>
      <c r="R478" s="1">
        <f>+Q478*1000/'Material Properties'!AE$35</f>
        <v>34220015.46707897</v>
      </c>
      <c r="S478" s="1">
        <f t="shared" si="322"/>
        <v>689.9196666749792</v>
      </c>
      <c r="T478" s="1">
        <f t="shared" si="323"/>
        <v>242.13685169545056</v>
      </c>
      <c r="U478">
        <f t="shared" si="311"/>
        <v>3.5294647458439616E-05</v>
      </c>
      <c r="V478">
        <f>+'Material Properties'!AE$31+'Material Properties'!AE$33</f>
        <v>0.00029034311030761144</v>
      </c>
      <c r="W478">
        <f t="shared" si="326"/>
        <v>0.00032563775776605106</v>
      </c>
      <c r="X478" s="1">
        <f>+'Volcano Summary'!E$12*10^9/Q478/3600/24/365</f>
        <v>0</v>
      </c>
      <c r="Y478" s="3">
        <f t="shared" si="327"/>
        <v>800</v>
      </c>
      <c r="Z478" s="1">
        <f>+Y478*'Volcano Summary'!B$19*'Volcano Summary'!B$20/1000</f>
        <v>32400000</v>
      </c>
      <c r="AA478" s="1">
        <f t="shared" si="312"/>
        <v>811975.0792541644</v>
      </c>
      <c r="AB478" s="3">
        <f t="shared" si="304"/>
        <v>225.54863312615677</v>
      </c>
      <c r="AC478" s="1">
        <f t="shared" si="328"/>
        <v>76973829.13187008</v>
      </c>
      <c r="AD478" s="36">
        <f t="shared" si="329"/>
        <v>21381.619203297236</v>
      </c>
      <c r="AE478" s="36">
        <f t="shared" si="303"/>
        <v>890.9008001373849</v>
      </c>
      <c r="AG478" s="1">
        <f t="shared" si="313"/>
        <v>32399999999.999996</v>
      </c>
      <c r="AH478" s="1">
        <f t="shared" si="330"/>
        <v>32400000</v>
      </c>
      <c r="AI478" s="1">
        <f t="shared" si="331"/>
        <v>32432399999.999996</v>
      </c>
      <c r="AJ478" s="1">
        <f t="shared" si="332"/>
        <v>1490400000000</v>
      </c>
      <c r="AK478" s="1">
        <f t="shared" si="333"/>
        <v>1491890400000</v>
      </c>
      <c r="AL478" s="39">
        <f>+AJ478/('Volcano Summary'!C$8)*10^6</f>
        <v>103467.85740905025</v>
      </c>
      <c r="AM478" s="1">
        <f t="shared" si="314"/>
        <v>890.9008001373849</v>
      </c>
    </row>
    <row r="479" spans="1:39" ht="12.75">
      <c r="A479" s="1">
        <f t="shared" si="324"/>
        <v>811975.0792541644</v>
      </c>
      <c r="B479" s="1">
        <f t="shared" si="325"/>
        <v>900.1293909455627</v>
      </c>
      <c r="C479" s="1">
        <f t="shared" si="306"/>
        <v>50400</v>
      </c>
      <c r="D479" s="1">
        <f t="shared" si="315"/>
        <v>253.32049473868514</v>
      </c>
      <c r="E479" s="38">
        <f t="shared" si="307"/>
        <v>2674501310.7907386</v>
      </c>
      <c r="F479" s="38">
        <f t="shared" si="308"/>
        <v>1719565358.0546546</v>
      </c>
      <c r="G479" s="38">
        <f t="shared" si="309"/>
        <v>764629405.3185709</v>
      </c>
      <c r="H479" s="18">
        <f t="shared" si="316"/>
        <v>0.00197378423927278</v>
      </c>
      <c r="I479" s="50">
        <f t="shared" si="305"/>
        <v>0.024847664103553234</v>
      </c>
      <c r="J479" s="3">
        <f t="shared" si="317"/>
        <v>6.404392779033739</v>
      </c>
      <c r="K479" s="12">
        <f aca="true" t="shared" si="334" ref="K479:K542">0.642-(3-J479)*(0.642-0.593)</f>
        <v>0.8088152461726534</v>
      </c>
      <c r="L479" s="3">
        <f t="shared" si="318"/>
        <v>1277.9922627857586</v>
      </c>
      <c r="M479" s="12">
        <f aca="true" t="shared" si="335" ref="M479:M542">0.658-(3-J479)*(0.658-0.635)</f>
        <v>0.7363010339177761</v>
      </c>
      <c r="N479" s="37">
        <f t="shared" si="319"/>
        <v>71294.2843637186</v>
      </c>
      <c r="O479" s="1">
        <f t="shared" si="310"/>
        <v>324849.5933559524</v>
      </c>
      <c r="P479">
        <f t="shared" si="320"/>
        <v>569.9557819304515</v>
      </c>
      <c r="Q479" s="1">
        <f t="shared" si="321"/>
        <v>40634.5895916952</v>
      </c>
      <c r="R479" s="1">
        <f>+Q479*1000/'Material Properties'!AE$35</f>
        <v>34847671.91882671</v>
      </c>
      <c r="S479" s="1">
        <f t="shared" si="322"/>
        <v>691.4220618814823</v>
      </c>
      <c r="T479" s="1">
        <f t="shared" si="323"/>
        <v>244.3326361539489</v>
      </c>
      <c r="U479">
        <f t="shared" si="311"/>
        <v>3.497862329635065E-05</v>
      </c>
      <c r="V479">
        <f>+'Material Properties'!AE$31+'Material Properties'!AE$33</f>
        <v>0.00029034311030761144</v>
      </c>
      <c r="W479">
        <f t="shared" si="326"/>
        <v>0.0003253217336039621</v>
      </c>
      <c r="X479" s="1">
        <f>+'Volcano Summary'!E$12*10^9/Q479/3600/24/365</f>
        <v>0</v>
      </c>
      <c r="Y479" s="3">
        <f t="shared" si="327"/>
        <v>800</v>
      </c>
      <c r="Z479" s="1">
        <f>+Y479*'Volcano Summary'!B$19*'Volcano Summary'!B$20/1000</f>
        <v>32400000</v>
      </c>
      <c r="AA479" s="1">
        <f t="shared" si="312"/>
        <v>797350.2458265711</v>
      </c>
      <c r="AB479" s="3">
        <f t="shared" si="304"/>
        <v>221.48617939626976</v>
      </c>
      <c r="AC479" s="1">
        <f t="shared" si="328"/>
        <v>77771179.37769665</v>
      </c>
      <c r="AD479" s="36">
        <f t="shared" si="329"/>
        <v>21603.105382693506</v>
      </c>
      <c r="AE479" s="36">
        <f t="shared" si="303"/>
        <v>900.1293909455627</v>
      </c>
      <c r="AG479" s="1">
        <f t="shared" si="313"/>
        <v>32399999999.999996</v>
      </c>
      <c r="AH479" s="1">
        <f t="shared" si="330"/>
        <v>32400000</v>
      </c>
      <c r="AI479" s="1">
        <f t="shared" si="331"/>
        <v>32432399999.999996</v>
      </c>
      <c r="AJ479" s="1">
        <f t="shared" si="332"/>
        <v>1522800000000</v>
      </c>
      <c r="AK479" s="1">
        <f t="shared" si="333"/>
        <v>1524322800000</v>
      </c>
      <c r="AL479" s="39">
        <f>+AJ479/('Volcano Summary'!C$8)*10^6</f>
        <v>105717.15865707309</v>
      </c>
      <c r="AM479" s="1">
        <f t="shared" si="314"/>
        <v>900.1293909455627</v>
      </c>
    </row>
    <row r="480" spans="1:39" ht="12.75">
      <c r="A480" s="1">
        <f t="shared" si="324"/>
        <v>797350.2458265711</v>
      </c>
      <c r="B480" s="1">
        <f t="shared" si="325"/>
        <v>909.0790879605211</v>
      </c>
      <c r="C480" s="1">
        <f t="shared" si="306"/>
        <v>51200</v>
      </c>
      <c r="D480" s="1">
        <f t="shared" si="315"/>
        <v>255.32305945691692</v>
      </c>
      <c r="E480" s="38">
        <f t="shared" si="307"/>
        <v>2695643942.6546907</v>
      </c>
      <c r="F480" s="38">
        <f t="shared" si="308"/>
        <v>1733158971.6321352</v>
      </c>
      <c r="G480" s="38">
        <f t="shared" si="309"/>
        <v>770674000.6095799</v>
      </c>
      <c r="H480" s="18">
        <f t="shared" si="316"/>
        <v>0.001958303339555469</v>
      </c>
      <c r="I480" s="50">
        <v>0.0235</v>
      </c>
      <c r="J480" s="3">
        <f t="shared" si="317"/>
        <v>6.102012847955352</v>
      </c>
      <c r="K480" s="12">
        <f t="shared" si="334"/>
        <v>0.7939986295498125</v>
      </c>
      <c r="L480" s="3">
        <f t="shared" si="318"/>
        <v>1254.5808329267677</v>
      </c>
      <c r="M480" s="12">
        <f t="shared" si="335"/>
        <v>0.7293462955029733</v>
      </c>
      <c r="N480" s="37">
        <f t="shared" si="319"/>
        <v>72425.93967107922</v>
      </c>
      <c r="O480" s="1">
        <f t="shared" si="310"/>
        <v>334701.44908206316</v>
      </c>
      <c r="P480">
        <f t="shared" si="320"/>
        <v>578.5338789406055</v>
      </c>
      <c r="Q480" s="1">
        <f t="shared" si="321"/>
        <v>41900.859813827745</v>
      </c>
      <c r="R480" s="1">
        <f>+Q480*1000/'Material Properties'!AE$35</f>
        <v>35933608.05611387</v>
      </c>
      <c r="S480" s="1">
        <f t="shared" si="322"/>
        <v>701.828282345974</v>
      </c>
      <c r="T480" s="1">
        <f t="shared" si="323"/>
        <v>258.44537092345183</v>
      </c>
      <c r="U480">
        <f t="shared" si="311"/>
        <v>3.307519995231319E-05</v>
      </c>
      <c r="V480">
        <f>+'Material Properties'!AE$31+'Material Properties'!AE$33</f>
        <v>0.00029034311030761144</v>
      </c>
      <c r="W480">
        <f t="shared" si="326"/>
        <v>0.00032341831025992464</v>
      </c>
      <c r="X480" s="1">
        <f>+'Volcano Summary'!E$12*10^9/Q480/3600/24/365</f>
        <v>0</v>
      </c>
      <c r="Y480" s="3">
        <f t="shared" si="327"/>
        <v>800</v>
      </c>
      <c r="Z480" s="1">
        <f>+Y480*'Volcano Summary'!B$19*'Volcano Summary'!B$20/1000</f>
        <v>32400000</v>
      </c>
      <c r="AA480" s="1">
        <f t="shared" si="312"/>
        <v>773253.8220923964</v>
      </c>
      <c r="AB480" s="3">
        <f t="shared" si="304"/>
        <v>214.792728358999</v>
      </c>
      <c r="AC480" s="1">
        <f t="shared" si="328"/>
        <v>78544433.19978905</v>
      </c>
      <c r="AD480" s="36">
        <f t="shared" si="329"/>
        <v>21817.898111052506</v>
      </c>
      <c r="AE480" s="36">
        <f t="shared" si="303"/>
        <v>909.0790879605211</v>
      </c>
      <c r="AG480" s="1">
        <f t="shared" si="313"/>
        <v>32400000000.000004</v>
      </c>
      <c r="AH480" s="1">
        <f t="shared" si="330"/>
        <v>32400000</v>
      </c>
      <c r="AI480" s="1">
        <f t="shared" si="331"/>
        <v>32432400000.000004</v>
      </c>
      <c r="AJ480" s="1">
        <f t="shared" si="332"/>
        <v>1555200000000</v>
      </c>
      <c r="AK480" s="1">
        <f t="shared" si="333"/>
        <v>1556755200000</v>
      </c>
      <c r="AL480" s="39">
        <f>+AJ480/('Volcano Summary'!C$8)*10^6</f>
        <v>107966.45990509592</v>
      </c>
      <c r="AM480" s="1">
        <f t="shared" si="314"/>
        <v>909.0790879605211</v>
      </c>
    </row>
    <row r="481" spans="1:39" ht="12.75">
      <c r="A481" s="1">
        <f t="shared" si="324"/>
        <v>773253.8220923964</v>
      </c>
      <c r="B481" s="1">
        <f t="shared" si="325"/>
        <v>917.872480936413</v>
      </c>
      <c r="C481" s="1">
        <f t="shared" si="306"/>
        <v>52000</v>
      </c>
      <c r="D481" s="1">
        <f t="shared" si="315"/>
        <v>257.3100393032275</v>
      </c>
      <c r="E481" s="38">
        <f t="shared" si="307"/>
        <v>2716622032.915229</v>
      </c>
      <c r="F481" s="38">
        <f t="shared" si="308"/>
        <v>1746646793.509291</v>
      </c>
      <c r="G481" s="38">
        <f t="shared" si="309"/>
        <v>776671554.1033535</v>
      </c>
      <c r="H481" s="18">
        <f t="shared" si="316"/>
        <v>0.0019431810797353852</v>
      </c>
      <c r="I481" s="50">
        <f>+I$480*LN(H$480)/LN(H481)</f>
        <v>0.023470821451766318</v>
      </c>
      <c r="J481" s="3">
        <f t="shared" si="317"/>
        <v>6.0608056170919715</v>
      </c>
      <c r="K481" s="12">
        <f t="shared" si="334"/>
        <v>0.7919794752375068</v>
      </c>
      <c r="L481" s="3">
        <f t="shared" si="318"/>
        <v>1251.3904089075518</v>
      </c>
      <c r="M481" s="12">
        <f t="shared" si="335"/>
        <v>0.7283985291931154</v>
      </c>
      <c r="N481" s="37">
        <f t="shared" si="319"/>
        <v>73557.59497843983</v>
      </c>
      <c r="O481" s="1">
        <f t="shared" si="310"/>
        <v>336120.13453011354</v>
      </c>
      <c r="P481">
        <f t="shared" si="320"/>
        <v>579.758686463699</v>
      </c>
      <c r="Q481" s="1">
        <f t="shared" si="321"/>
        <v>42645.654644129056</v>
      </c>
      <c r="R481" s="1">
        <f>+Q481*1000/'Material Properties'!AE$35</f>
        <v>36572333.98281752</v>
      </c>
      <c r="S481" s="1">
        <f t="shared" si="322"/>
        <v>703.3141150541832</v>
      </c>
      <c r="T481" s="1">
        <f t="shared" si="323"/>
        <v>260.3148895436999</v>
      </c>
      <c r="U481">
        <f t="shared" si="311"/>
        <v>3.2838480283356745E-05</v>
      </c>
      <c r="V481">
        <f>+'Material Properties'!AE$31+'Material Properties'!AE$33</f>
        <v>0.00029034311030761144</v>
      </c>
      <c r="W481">
        <f t="shared" si="326"/>
        <v>0.0003231815905909682</v>
      </c>
      <c r="X481" s="1">
        <f>+'Volcano Summary'!E$12*10^9/Q481/3600/24/365</f>
        <v>0</v>
      </c>
      <c r="Y481" s="3">
        <f t="shared" si="327"/>
        <v>800</v>
      </c>
      <c r="Z481" s="1">
        <f>+Y481*'Volcano Summary'!B$19*'Volcano Summary'!B$20/1000</f>
        <v>32400000</v>
      </c>
      <c r="AA481" s="1">
        <f t="shared" si="312"/>
        <v>759749.1531170678</v>
      </c>
      <c r="AB481" s="3">
        <f t="shared" si="304"/>
        <v>211.0414314214077</v>
      </c>
      <c r="AC481" s="1">
        <f t="shared" si="328"/>
        <v>79304182.35290611</v>
      </c>
      <c r="AD481" s="36">
        <f t="shared" si="329"/>
        <v>22028.939542473912</v>
      </c>
      <c r="AE481" s="36">
        <f t="shared" si="303"/>
        <v>917.872480936413</v>
      </c>
      <c r="AG481" s="1">
        <f t="shared" si="313"/>
        <v>32399999999.999996</v>
      </c>
      <c r="AH481" s="1">
        <f t="shared" si="330"/>
        <v>32400000</v>
      </c>
      <c r="AI481" s="1">
        <f t="shared" si="331"/>
        <v>32432399999.999996</v>
      </c>
      <c r="AJ481" s="1">
        <f t="shared" si="332"/>
        <v>1587600000000</v>
      </c>
      <c r="AK481" s="1">
        <f t="shared" si="333"/>
        <v>1589187600000</v>
      </c>
      <c r="AL481" s="39">
        <f>+AJ481/('Volcano Summary'!C$8)*10^6</f>
        <v>110215.76115311873</v>
      </c>
      <c r="AM481" s="1">
        <f t="shared" si="314"/>
        <v>917.872480936413</v>
      </c>
    </row>
    <row r="482" spans="1:39" ht="12.75">
      <c r="A482" s="1">
        <f t="shared" si="324"/>
        <v>759749.1531170678</v>
      </c>
      <c r="B482" s="1">
        <f t="shared" si="325"/>
        <v>926.5146216216557</v>
      </c>
      <c r="C482" s="1">
        <f t="shared" si="306"/>
        <v>52800</v>
      </c>
      <c r="D482" s="1">
        <f t="shared" si="315"/>
        <v>259.28179257714294</v>
      </c>
      <c r="E482" s="38">
        <f t="shared" si="307"/>
        <v>2737439364.4188747</v>
      </c>
      <c r="F482" s="38">
        <f t="shared" si="308"/>
        <v>1760031255.859854</v>
      </c>
      <c r="G482" s="38">
        <f t="shared" si="309"/>
        <v>782623147.300833</v>
      </c>
      <c r="H482" s="18">
        <f t="shared" si="316"/>
        <v>0.0019284038228455137</v>
      </c>
      <c r="I482" s="50">
        <f aca="true" t="shared" si="336" ref="I482:I528">+I$480*LN(H$480)/LN(H482)</f>
        <v>0.02344215911607311</v>
      </c>
      <c r="J482" s="3">
        <f t="shared" si="317"/>
        <v>6.02059492551882</v>
      </c>
      <c r="K482" s="12">
        <f t="shared" si="334"/>
        <v>0.7900091513504224</v>
      </c>
      <c r="L482" s="3">
        <f t="shared" si="318"/>
        <v>1248.2771408345384</v>
      </c>
      <c r="M482" s="12">
        <f t="shared" si="335"/>
        <v>0.727473683286933</v>
      </c>
      <c r="N482" s="37">
        <f t="shared" si="319"/>
        <v>74689.25028580042</v>
      </c>
      <c r="O482" s="1">
        <f t="shared" si="310"/>
        <v>337523.2323028607</v>
      </c>
      <c r="P482">
        <f t="shared" si="320"/>
        <v>580.9674967697081</v>
      </c>
      <c r="Q482" s="1">
        <f t="shared" si="321"/>
        <v>43392.02677414767</v>
      </c>
      <c r="R482" s="1">
        <f>+Q482*1000/'Material Properties'!AE$35</f>
        <v>37212412.58032748</v>
      </c>
      <c r="S482" s="1">
        <f t="shared" si="322"/>
        <v>704.7805412940811</v>
      </c>
      <c r="T482" s="1">
        <f t="shared" si="323"/>
        <v>262.1267761537131</v>
      </c>
      <c r="U482">
        <f t="shared" si="311"/>
        <v>3.261226908315626E-05</v>
      </c>
      <c r="V482">
        <f>+'Material Properties'!AE$31+'Material Properties'!AE$33</f>
        <v>0.00029034311030761144</v>
      </c>
      <c r="W482">
        <f t="shared" si="326"/>
        <v>0.0003229553793907677</v>
      </c>
      <c r="X482" s="1">
        <f>+'Volcano Summary'!E$12*10^9/Q482/3600/24/365</f>
        <v>0</v>
      </c>
      <c r="Y482" s="3">
        <f t="shared" si="327"/>
        <v>800</v>
      </c>
      <c r="Z482" s="1">
        <f>+Y482*'Volcano Summary'!B$19*'Volcano Summary'!B$20/1000</f>
        <v>32400000</v>
      </c>
      <c r="AA482" s="1">
        <f t="shared" si="312"/>
        <v>746680.955204965</v>
      </c>
      <c r="AB482" s="3">
        <f t="shared" si="304"/>
        <v>207.4113764458236</v>
      </c>
      <c r="AC482" s="1">
        <f t="shared" si="328"/>
        <v>80050863.30811107</v>
      </c>
      <c r="AD482" s="36">
        <f t="shared" si="329"/>
        <v>22236.350918919736</v>
      </c>
      <c r="AE482" s="36">
        <f t="shared" si="303"/>
        <v>926.5146216216557</v>
      </c>
      <c r="AG482" s="1">
        <f t="shared" si="313"/>
        <v>32399999999.999996</v>
      </c>
      <c r="AH482" s="1">
        <f t="shared" si="330"/>
        <v>32400000</v>
      </c>
      <c r="AI482" s="1">
        <f t="shared" si="331"/>
        <v>32432399999.999996</v>
      </c>
      <c r="AJ482" s="1">
        <f t="shared" si="332"/>
        <v>1620000000000</v>
      </c>
      <c r="AK482" s="1">
        <f t="shared" si="333"/>
        <v>1621620000000</v>
      </c>
      <c r="AL482" s="39">
        <f>+AJ482/('Volcano Summary'!C$8)*10^6</f>
        <v>112465.06240114156</v>
      </c>
      <c r="AM482" s="1">
        <f t="shared" si="314"/>
        <v>926.5146216216557</v>
      </c>
    </row>
    <row r="483" spans="1:39" ht="12.75">
      <c r="A483" s="1">
        <f t="shared" si="324"/>
        <v>746680.955204965</v>
      </c>
      <c r="B483" s="1">
        <f t="shared" si="325"/>
        <v>935.0103261680403</v>
      </c>
      <c r="C483" s="1">
        <f t="shared" si="306"/>
        <v>53600</v>
      </c>
      <c r="D483" s="1">
        <f t="shared" si="315"/>
        <v>261.2386640560787</v>
      </c>
      <c r="E483" s="38">
        <f t="shared" si="307"/>
        <v>2758099577.2487187</v>
      </c>
      <c r="F483" s="38">
        <f t="shared" si="308"/>
        <v>1773314699.0680876</v>
      </c>
      <c r="G483" s="38">
        <f t="shared" si="309"/>
        <v>788529820.887457</v>
      </c>
      <c r="H483" s="18">
        <f t="shared" si="316"/>
        <v>0.0019139586469967085</v>
      </c>
      <c r="I483" s="50">
        <f t="shared" si="336"/>
        <v>0.023413996160235505</v>
      </c>
      <c r="J483" s="3">
        <f t="shared" si="317"/>
        <v>5.981342041163048</v>
      </c>
      <c r="K483" s="12">
        <f t="shared" si="334"/>
        <v>0.7880857600169895</v>
      </c>
      <c r="L483" s="3">
        <f t="shared" si="318"/>
        <v>1245.2380299200643</v>
      </c>
      <c r="M483" s="12">
        <f t="shared" si="335"/>
        <v>0.7265708669467502</v>
      </c>
      <c r="N483" s="37">
        <f t="shared" si="319"/>
        <v>75820.90559316106</v>
      </c>
      <c r="O483" s="1">
        <f t="shared" si="310"/>
        <v>338911.1051684848</v>
      </c>
      <c r="P483">
        <f t="shared" si="320"/>
        <v>582.1607210800852</v>
      </c>
      <c r="Q483" s="1">
        <f t="shared" si="321"/>
        <v>44139.95307305971</v>
      </c>
      <c r="R483" s="1">
        <f>+Q483*1000/'Material Properties'!AE$35</f>
        <v>37853824.011963435</v>
      </c>
      <c r="S483" s="1">
        <f t="shared" si="322"/>
        <v>706.2280599246909</v>
      </c>
      <c r="T483" s="1">
        <f t="shared" si="323"/>
        <v>263.88367070845175</v>
      </c>
      <c r="U483">
        <f t="shared" si="311"/>
        <v>3.2395879916042716E-05</v>
      </c>
      <c r="V483">
        <f>+'Material Properties'!AE$31+'Material Properties'!AE$33</f>
        <v>0.00029034311030761144</v>
      </c>
      <c r="W483">
        <f t="shared" si="326"/>
        <v>0.00032273899022365414</v>
      </c>
      <c r="X483" s="1">
        <f>+'Volcano Summary'!E$12*10^9/Q483/3600/24/365</f>
        <v>0</v>
      </c>
      <c r="Y483" s="3">
        <f t="shared" si="327"/>
        <v>800</v>
      </c>
      <c r="Z483" s="1">
        <f>+Y483*'Volcano Summary'!B$19*'Volcano Summary'!B$20/1000</f>
        <v>32400000</v>
      </c>
      <c r="AA483" s="1">
        <f t="shared" si="312"/>
        <v>734028.8728076366</v>
      </c>
      <c r="AB483" s="3">
        <f t="shared" si="304"/>
        <v>203.8969091132324</v>
      </c>
      <c r="AC483" s="1">
        <f t="shared" si="328"/>
        <v>80784892.18091871</v>
      </c>
      <c r="AD483" s="36">
        <f t="shared" si="329"/>
        <v>22440.247828032967</v>
      </c>
      <c r="AE483" s="36">
        <f t="shared" si="303"/>
        <v>935.0103261680403</v>
      </c>
      <c r="AG483" s="1">
        <f t="shared" si="313"/>
        <v>32399999999.999996</v>
      </c>
      <c r="AH483" s="1">
        <f t="shared" si="330"/>
        <v>32400000</v>
      </c>
      <c r="AI483" s="1">
        <f t="shared" si="331"/>
        <v>32432399999.999996</v>
      </c>
      <c r="AJ483" s="1">
        <f t="shared" si="332"/>
        <v>1652400000000</v>
      </c>
      <c r="AK483" s="1">
        <f t="shared" si="333"/>
        <v>1654052400000</v>
      </c>
      <c r="AL483" s="39">
        <f>+AJ483/('Volcano Summary'!C$8)*10^6</f>
        <v>114714.3636491644</v>
      </c>
      <c r="AM483" s="1">
        <f t="shared" si="314"/>
        <v>935.0103261680403</v>
      </c>
    </row>
    <row r="484" spans="1:39" ht="12.75">
      <c r="A484" s="1">
        <f t="shared" si="324"/>
        <v>734028.8728076366</v>
      </c>
      <c r="B484" s="1">
        <f t="shared" si="325"/>
        <v>943.3641893920525</v>
      </c>
      <c r="C484" s="1">
        <f t="shared" si="306"/>
        <v>54400</v>
      </c>
      <c r="D484" s="1">
        <f t="shared" si="315"/>
        <v>263.18098569918163</v>
      </c>
      <c r="E484" s="38">
        <f t="shared" si="307"/>
        <v>2778606176.155431</v>
      </c>
      <c r="F484" s="38">
        <f t="shared" si="308"/>
        <v>1786499376.5065434</v>
      </c>
      <c r="G484" s="38">
        <f t="shared" si="309"/>
        <v>794392576.8576568</v>
      </c>
      <c r="H484" s="18">
        <f t="shared" si="316"/>
        <v>0.0018998332978792957</v>
      </c>
      <c r="I484" s="50">
        <f t="shared" si="336"/>
        <v>0.02338631654300074</v>
      </c>
      <c r="J484" s="3">
        <f t="shared" si="317"/>
        <v>5.943010288313823</v>
      </c>
      <c r="K484" s="12">
        <f t="shared" si="334"/>
        <v>0.7862075041273775</v>
      </c>
      <c r="L484" s="3">
        <f t="shared" si="318"/>
        <v>1242.2702365880089</v>
      </c>
      <c r="M484" s="12">
        <f t="shared" si="335"/>
        <v>0.725689236631218</v>
      </c>
      <c r="N484" s="37">
        <f t="shared" si="319"/>
        <v>76952.56090052164</v>
      </c>
      <c r="O484" s="1">
        <f t="shared" si="310"/>
        <v>340284.10257074935</v>
      </c>
      <c r="P484">
        <f t="shared" si="320"/>
        <v>583.3387545592607</v>
      </c>
      <c r="Q484" s="1">
        <f t="shared" si="321"/>
        <v>44889.41103585595</v>
      </c>
      <c r="R484" s="1">
        <f>+Q484*1000/'Material Properties'!AE$35</f>
        <v>38496548.97773529</v>
      </c>
      <c r="S484" s="1">
        <f t="shared" si="322"/>
        <v>707.6571503260163</v>
      </c>
      <c r="T484" s="1">
        <f t="shared" si="323"/>
        <v>265.5880544284237</v>
      </c>
      <c r="U484">
        <f t="shared" si="311"/>
        <v>3.218868484892612E-05</v>
      </c>
      <c r="V484">
        <f>+'Material Properties'!AE$31+'Material Properties'!AE$33</f>
        <v>0.00029034311030761144</v>
      </c>
      <c r="W484">
        <f t="shared" si="326"/>
        <v>0.00032253179515653754</v>
      </c>
      <c r="X484" s="1">
        <f>+'Volcano Summary'!E$12*10^9/Q484/3600/24/365</f>
        <v>0</v>
      </c>
      <c r="Y484" s="3">
        <f t="shared" si="327"/>
        <v>800</v>
      </c>
      <c r="Z484" s="1">
        <f>+Y484*'Volcano Summary'!B$19*'Volcano Summary'!B$20/1000</f>
        <v>32400000</v>
      </c>
      <c r="AA484" s="1">
        <f t="shared" si="312"/>
        <v>721773.7825546456</v>
      </c>
      <c r="AB484" s="3">
        <f t="shared" si="304"/>
        <v>200.49271737629044</v>
      </c>
      <c r="AC484" s="1">
        <f t="shared" si="328"/>
        <v>81506665.96347335</v>
      </c>
      <c r="AD484" s="36">
        <f t="shared" si="329"/>
        <v>22640.74054540926</v>
      </c>
      <c r="AE484" s="36">
        <f t="shared" si="303"/>
        <v>943.3641893920525</v>
      </c>
      <c r="AG484" s="1">
        <f t="shared" si="313"/>
        <v>32399999999.999996</v>
      </c>
      <c r="AH484" s="1">
        <f t="shared" si="330"/>
        <v>32400000</v>
      </c>
      <c r="AI484" s="1">
        <f t="shared" si="331"/>
        <v>32432399999.999996</v>
      </c>
      <c r="AJ484" s="1">
        <f t="shared" si="332"/>
        <v>1684800000000</v>
      </c>
      <c r="AK484" s="1">
        <f t="shared" si="333"/>
        <v>1686484800000</v>
      </c>
      <c r="AL484" s="39">
        <f>+AJ484/('Volcano Summary'!C$8)*10^6</f>
        <v>116963.66489718723</v>
      </c>
      <c r="AM484" s="1">
        <f t="shared" si="314"/>
        <v>943.3641893920525</v>
      </c>
    </row>
    <row r="485" spans="1:39" ht="12.75">
      <c r="A485" s="1">
        <f t="shared" si="324"/>
        <v>721773.7825546456</v>
      </c>
      <c r="B485" s="1">
        <f t="shared" si="325"/>
        <v>951.580597980298</v>
      </c>
      <c r="C485" s="1">
        <f t="shared" si="306"/>
        <v>55200</v>
      </c>
      <c r="D485" s="1">
        <f t="shared" si="315"/>
        <v>265.1090773047596</v>
      </c>
      <c r="E485" s="38">
        <f t="shared" si="307"/>
        <v>2798962537.498252</v>
      </c>
      <c r="F485" s="38">
        <f t="shared" si="308"/>
        <v>1799587458.9987557</v>
      </c>
      <c r="G485" s="38">
        <f t="shared" si="309"/>
        <v>800212380.4992596</v>
      </c>
      <c r="H485" s="18">
        <f t="shared" si="316"/>
        <v>0.0018860161450647672</v>
      </c>
      <c r="I485" s="50">
        <f t="shared" si="336"/>
        <v>0.023359104966286022</v>
      </c>
      <c r="J485" s="3">
        <f t="shared" si="317"/>
        <v>5.905564910067802</v>
      </c>
      <c r="K485" s="12">
        <f t="shared" si="334"/>
        <v>0.7843726805933224</v>
      </c>
      <c r="L485" s="3">
        <f t="shared" si="318"/>
        <v>1239.3710698237871</v>
      </c>
      <c r="M485" s="12">
        <f t="shared" si="335"/>
        <v>0.7248279929315595</v>
      </c>
      <c r="N485" s="37">
        <f t="shared" si="319"/>
        <v>78084.21620788229</v>
      </c>
      <c r="O485" s="1">
        <f t="shared" si="310"/>
        <v>341642.5613001468</v>
      </c>
      <c r="P485">
        <f t="shared" si="320"/>
        <v>584.5019771567473</v>
      </c>
      <c r="Q485" s="1">
        <f t="shared" si="321"/>
        <v>45640.37875824213</v>
      </c>
      <c r="R485" s="1">
        <f>+Q485*1000/'Material Properties'!AE$35</f>
        <v>39140568.6928179</v>
      </c>
      <c r="S485" s="1">
        <f t="shared" si="322"/>
        <v>709.0682734206141</v>
      </c>
      <c r="T485" s="1">
        <f t="shared" si="323"/>
        <v>267.24226153628945</v>
      </c>
      <c r="U485">
        <f t="shared" si="311"/>
        <v>3.199010835089528E-05</v>
      </c>
      <c r="V485">
        <f>+'Material Properties'!AE$31+'Material Properties'!AE$33</f>
        <v>0.00029034311030761144</v>
      </c>
      <c r="W485">
        <f t="shared" si="326"/>
        <v>0.0003223332186585067</v>
      </c>
      <c r="X485" s="1">
        <f>+'Volcano Summary'!E$12*10^9/Q485/3600/24/365</f>
        <v>0</v>
      </c>
      <c r="Y485" s="3">
        <f t="shared" si="327"/>
        <v>800</v>
      </c>
      <c r="Z485" s="1">
        <f>+Y485*'Volcano Summary'!B$19*'Volcano Summary'!B$20/1000</f>
        <v>32400000</v>
      </c>
      <c r="AA485" s="1">
        <f t="shared" si="312"/>
        <v>709897.7020244148</v>
      </c>
      <c r="AB485" s="3">
        <f t="shared" si="304"/>
        <v>197.193806117893</v>
      </c>
      <c r="AC485" s="1">
        <f t="shared" si="328"/>
        <v>82216563.66549776</v>
      </c>
      <c r="AD485" s="36">
        <f t="shared" si="329"/>
        <v>22837.93435152715</v>
      </c>
      <c r="AE485" s="36">
        <f t="shared" si="303"/>
        <v>951.580597980298</v>
      </c>
      <c r="AG485" s="1">
        <f t="shared" si="313"/>
        <v>32400000000</v>
      </c>
      <c r="AH485" s="1">
        <f t="shared" si="330"/>
        <v>32400000</v>
      </c>
      <c r="AI485" s="1">
        <f t="shared" si="331"/>
        <v>32432400000</v>
      </c>
      <c r="AJ485" s="1">
        <f t="shared" si="332"/>
        <v>1717200000000</v>
      </c>
      <c r="AK485" s="1">
        <f t="shared" si="333"/>
        <v>1718917200000</v>
      </c>
      <c r="AL485" s="39">
        <f>+AJ485/('Volcano Summary'!C$8)*10^6</f>
        <v>119212.96614521007</v>
      </c>
      <c r="AM485" s="1">
        <f t="shared" si="314"/>
        <v>951.580597980298</v>
      </c>
    </row>
    <row r="486" spans="1:39" ht="12.75">
      <c r="A486" s="1">
        <f t="shared" si="324"/>
        <v>709897.7020244148</v>
      </c>
      <c r="B486" s="1">
        <f t="shared" si="325"/>
        <v>959.663742731082</v>
      </c>
      <c r="C486" s="1">
        <f t="shared" si="306"/>
        <v>56000</v>
      </c>
      <c r="D486" s="1">
        <f t="shared" si="315"/>
        <v>267.0232471249818</v>
      </c>
      <c r="E486" s="38">
        <f t="shared" si="307"/>
        <v>2819171915.734867</v>
      </c>
      <c r="F486" s="38">
        <f t="shared" si="308"/>
        <v>1812581038.9918916</v>
      </c>
      <c r="G486" s="38">
        <f t="shared" si="309"/>
        <v>805990162.2489167</v>
      </c>
      <c r="H486" s="18">
        <f t="shared" si="316"/>
        <v>0.0018724961417534258</v>
      </c>
      <c r="I486" s="50">
        <f t="shared" si="336"/>
        <v>0.023332346830513332</v>
      </c>
      <c r="J486" s="3">
        <f t="shared" si="317"/>
        <v>5.868972941818899</v>
      </c>
      <c r="K486" s="12">
        <f t="shared" si="334"/>
        <v>0.7825796741491262</v>
      </c>
      <c r="L486" s="3">
        <f t="shared" si="318"/>
        <v>1236.537977379436</v>
      </c>
      <c r="M486" s="12">
        <f t="shared" si="335"/>
        <v>0.7239863776618347</v>
      </c>
      <c r="N486" s="37">
        <f t="shared" si="319"/>
        <v>79215.87151524289</v>
      </c>
      <c r="O486" s="1">
        <f t="shared" si="310"/>
        <v>342986.8061221913</v>
      </c>
      <c r="P486">
        <f t="shared" si="320"/>
        <v>585.6507543939402</v>
      </c>
      <c r="Q486" s="1">
        <f t="shared" si="321"/>
        <v>46392.83491287544</v>
      </c>
      <c r="R486" s="1">
        <f>+Q486*1000/'Material Properties'!AE$35</f>
        <v>39785864.86717185</v>
      </c>
      <c r="S486" s="1">
        <f t="shared" si="322"/>
        <v>710.4618726280687</v>
      </c>
      <c r="T486" s="1">
        <f t="shared" si="323"/>
        <v>268.8484899688174</v>
      </c>
      <c r="U486">
        <f t="shared" si="311"/>
        <v>3.179962194039194E-05</v>
      </c>
      <c r="V486">
        <f>+'Material Properties'!AE$31+'Material Properties'!AE$33</f>
        <v>0.00029034311030761144</v>
      </c>
      <c r="W486">
        <f t="shared" si="326"/>
        <v>0.00032214273224800337</v>
      </c>
      <c r="X486" s="1">
        <f>+'Volcano Summary'!E$12*10^9/Q486/3600/24/365</f>
        <v>0</v>
      </c>
      <c r="Y486" s="3">
        <f t="shared" si="327"/>
        <v>800</v>
      </c>
      <c r="Z486" s="1">
        <f>+Y486*'Volcano Summary'!B$19*'Volcano Summary'!B$20/1000</f>
        <v>32400000</v>
      </c>
      <c r="AA486" s="1">
        <f t="shared" si="312"/>
        <v>698383.7064677416</v>
      </c>
      <c r="AB486" s="3">
        <f t="shared" si="304"/>
        <v>193.99547401881713</v>
      </c>
      <c r="AC486" s="1">
        <f t="shared" si="328"/>
        <v>82914947.37196551</v>
      </c>
      <c r="AD486" s="36">
        <f t="shared" si="329"/>
        <v>23031.92982554597</v>
      </c>
      <c r="AE486" s="36">
        <f aca="true" t="shared" si="337" ref="AE486:AE549">+AD486/24</f>
        <v>959.663742731082</v>
      </c>
      <c r="AG486" s="1">
        <f t="shared" si="313"/>
        <v>32400000000</v>
      </c>
      <c r="AH486" s="1">
        <f t="shared" si="330"/>
        <v>32400000</v>
      </c>
      <c r="AI486" s="1">
        <f t="shared" si="331"/>
        <v>32432400000</v>
      </c>
      <c r="AJ486" s="1">
        <f t="shared" si="332"/>
        <v>1749600000000</v>
      </c>
      <c r="AK486" s="1">
        <f t="shared" si="333"/>
        <v>1751349600000</v>
      </c>
      <c r="AL486" s="39">
        <f>+AJ486/('Volcano Summary'!C$8)*10^6</f>
        <v>121462.2673932329</v>
      </c>
      <c r="AM486" s="1">
        <f t="shared" si="314"/>
        <v>959.663742731082</v>
      </c>
    </row>
    <row r="487" spans="1:39" ht="12.75">
      <c r="A487" s="1">
        <f t="shared" si="324"/>
        <v>698383.7064677416</v>
      </c>
      <c r="B487" s="1">
        <f t="shared" si="325"/>
        <v>967.6176299149838</v>
      </c>
      <c r="C487" s="1">
        <f t="shared" si="306"/>
        <v>56800</v>
      </c>
      <c r="D487" s="1">
        <f t="shared" si="315"/>
        <v>268.9237924411993</v>
      </c>
      <c r="E487" s="38">
        <f t="shared" si="307"/>
        <v>2839237449.4955053</v>
      </c>
      <c r="F487" s="38">
        <f t="shared" si="308"/>
        <v>1825482134.4620857</v>
      </c>
      <c r="G487" s="38">
        <f t="shared" si="309"/>
        <v>811726819.4286661</v>
      </c>
      <c r="H487" s="18">
        <f t="shared" si="316"/>
        <v>0.0018592627876513603</v>
      </c>
      <c r="I487" s="50">
        <f t="shared" si="336"/>
        <v>0.023306028193225713</v>
      </c>
      <c r="J487" s="3">
        <f t="shared" si="317"/>
        <v>5.833203094761803</v>
      </c>
      <c r="K487" s="12">
        <f t="shared" si="334"/>
        <v>0.7808269516433285</v>
      </c>
      <c r="L487" s="3">
        <f t="shared" si="318"/>
        <v>1233.7685367540032</v>
      </c>
      <c r="M487" s="12">
        <f t="shared" si="335"/>
        <v>0.7231636711795215</v>
      </c>
      <c r="N487" s="37">
        <f t="shared" si="319"/>
        <v>80347.5268226035</v>
      </c>
      <c r="O487" s="1">
        <f t="shared" si="310"/>
        <v>344317.1503661638</v>
      </c>
      <c r="P487">
        <f t="shared" si="320"/>
        <v>586.7854380999615</v>
      </c>
      <c r="Q487" s="1">
        <f t="shared" si="321"/>
        <v>47146.7587268498</v>
      </c>
      <c r="R487" s="1">
        <f>+Q487*1000/'Material Properties'!AE$35</f>
        <v>40432419.68623512</v>
      </c>
      <c r="S487" s="1">
        <f t="shared" si="322"/>
        <v>711.8383747576606</v>
      </c>
      <c r="T487" s="1">
        <f t="shared" si="323"/>
        <v>270.40881116692503</v>
      </c>
      <c r="U487">
        <f t="shared" si="311"/>
        <v>3.161673947523354E-05</v>
      </c>
      <c r="V487">
        <f>+'Material Properties'!AE$31+'Material Properties'!AE$33</f>
        <v>0.00029034311030761144</v>
      </c>
      <c r="W487">
        <f t="shared" si="326"/>
        <v>0.000321959849782845</v>
      </c>
      <c r="X487" s="1">
        <f>+'Volcano Summary'!E$12*10^9/Q487/3600/24/365</f>
        <v>0</v>
      </c>
      <c r="Y487" s="3">
        <f t="shared" si="327"/>
        <v>800</v>
      </c>
      <c r="Z487" s="1">
        <f>+Y487*'Volcano Summary'!B$19*'Volcano Summary'!B$20/1000</f>
        <v>32400000</v>
      </c>
      <c r="AA487" s="1">
        <f t="shared" si="312"/>
        <v>687215.8526891137</v>
      </c>
      <c r="AB487" s="3">
        <f t="shared" si="304"/>
        <v>190.89329241364268</v>
      </c>
      <c r="AC487" s="1">
        <f t="shared" si="328"/>
        <v>83602163.22465463</v>
      </c>
      <c r="AD487" s="36">
        <f t="shared" si="329"/>
        <v>23222.82311795961</v>
      </c>
      <c r="AE487" s="36">
        <f t="shared" si="337"/>
        <v>967.6176299149838</v>
      </c>
      <c r="AG487" s="1">
        <f t="shared" si="313"/>
        <v>32400000000</v>
      </c>
      <c r="AH487" s="1">
        <f t="shared" si="330"/>
        <v>32400000</v>
      </c>
      <c r="AI487" s="1">
        <f t="shared" si="331"/>
        <v>32432400000</v>
      </c>
      <c r="AJ487" s="1">
        <f t="shared" si="332"/>
        <v>1782000000000</v>
      </c>
      <c r="AK487" s="1">
        <f t="shared" si="333"/>
        <v>1783782000000</v>
      </c>
      <c r="AL487" s="39">
        <f>+AJ487/('Volcano Summary'!C$8)*10^6</f>
        <v>123711.56864125574</v>
      </c>
      <c r="AM487" s="1">
        <f t="shared" si="314"/>
        <v>967.6176299149838</v>
      </c>
    </row>
    <row r="488" spans="1:39" ht="12.75">
      <c r="A488" s="1">
        <f t="shared" si="324"/>
        <v>687215.8526891137</v>
      </c>
      <c r="B488" s="1">
        <f t="shared" si="325"/>
        <v>975.4460918291079</v>
      </c>
      <c r="C488" s="1">
        <f t="shared" si="306"/>
        <v>57600</v>
      </c>
      <c r="D488" s="1">
        <f t="shared" si="315"/>
        <v>270.811000102923</v>
      </c>
      <c r="E488" s="38">
        <f t="shared" si="307"/>
        <v>2859162167.273359</v>
      </c>
      <c r="F488" s="38">
        <f t="shared" si="308"/>
        <v>1838292692.5730789</v>
      </c>
      <c r="G488" s="38">
        <f t="shared" si="309"/>
        <v>817423217.872799</v>
      </c>
      <c r="H488" s="18">
        <f t="shared" si="316"/>
        <v>0.001846306094693246</v>
      </c>
      <c r="I488" s="50">
        <f t="shared" si="336"/>
        <v>0.02328013573070135</v>
      </c>
      <c r="J488" s="3">
        <f t="shared" si="317"/>
        <v>5.798225648487991</v>
      </c>
      <c r="K488" s="12">
        <f t="shared" si="334"/>
        <v>0.7791130567759117</v>
      </c>
      <c r="L488" s="3">
        <f t="shared" si="318"/>
        <v>1231.0604468779138</v>
      </c>
      <c r="M488" s="12">
        <f t="shared" si="335"/>
        <v>0.7223591899152239</v>
      </c>
      <c r="N488" s="37">
        <f t="shared" si="319"/>
        <v>81479.18212996412</v>
      </c>
      <c r="O488" s="1">
        <f t="shared" si="310"/>
        <v>345633.89647731103</v>
      </c>
      <c r="P488">
        <f t="shared" si="320"/>
        <v>587.9063671005027</v>
      </c>
      <c r="Q488" s="1">
        <f t="shared" si="321"/>
        <v>47902.1299603474</v>
      </c>
      <c r="R488" s="1">
        <f>+Q488*1000/'Material Properties'!AE$35</f>
        <v>41080215.79261499</v>
      </c>
      <c r="S488" s="1">
        <f t="shared" si="322"/>
        <v>713.1981908440102</v>
      </c>
      <c r="T488" s="1">
        <f t="shared" si="323"/>
        <v>271.9251790349425</v>
      </c>
      <c r="U488">
        <f t="shared" si="311"/>
        <v>3.1441012997196173E-05</v>
      </c>
      <c r="V488">
        <f>+'Material Properties'!AE$31+'Material Properties'!AE$33</f>
        <v>0.00029034311030761144</v>
      </c>
      <c r="W488">
        <f t="shared" si="326"/>
        <v>0.00032178412330480764</v>
      </c>
      <c r="X488" s="1">
        <f>+'Volcano Summary'!E$12*10^9/Q488/3600/24/365</f>
        <v>0</v>
      </c>
      <c r="Y488" s="3">
        <f t="shared" si="327"/>
        <v>800</v>
      </c>
      <c r="Z488" s="1">
        <f>+Y488*'Volcano Summary'!B$19*'Volcano Summary'!B$20/1000</f>
        <v>32400000</v>
      </c>
      <c r="AA488" s="1">
        <f t="shared" si="312"/>
        <v>676379.1093803175</v>
      </c>
      <c r="AB488" s="3">
        <f t="shared" si="304"/>
        <v>187.88308593897708</v>
      </c>
      <c r="AC488" s="1">
        <f t="shared" si="328"/>
        <v>84278542.33403495</v>
      </c>
      <c r="AD488" s="36">
        <f t="shared" si="329"/>
        <v>23410.70620389859</v>
      </c>
      <c r="AE488" s="36">
        <f t="shared" si="337"/>
        <v>975.4460918291079</v>
      </c>
      <c r="AG488" s="1">
        <f t="shared" si="313"/>
        <v>32400000000</v>
      </c>
      <c r="AH488" s="1">
        <f t="shared" si="330"/>
        <v>32400000</v>
      </c>
      <c r="AI488" s="1">
        <f t="shared" si="331"/>
        <v>32432400000</v>
      </c>
      <c r="AJ488" s="1">
        <f t="shared" si="332"/>
        <v>1814400000000</v>
      </c>
      <c r="AK488" s="1">
        <f t="shared" si="333"/>
        <v>1816214400000</v>
      </c>
      <c r="AL488" s="39">
        <f>+AJ488/('Volcano Summary'!C$8)*10^6</f>
        <v>125960.86988927858</v>
      </c>
      <c r="AM488" s="1">
        <f t="shared" si="314"/>
        <v>975.4460918291079</v>
      </c>
    </row>
    <row r="489" spans="1:39" ht="12.75">
      <c r="A489" s="1">
        <f t="shared" si="324"/>
        <v>676379.1093803175</v>
      </c>
      <c r="B489" s="1">
        <f t="shared" si="325"/>
        <v>983.1527966124298</v>
      </c>
      <c r="C489" s="1">
        <f t="shared" si="306"/>
        <v>58400</v>
      </c>
      <c r="D489" s="1">
        <f t="shared" si="315"/>
        <v>272.6851470332286</v>
      </c>
      <c r="E489" s="38">
        <f t="shared" si="307"/>
        <v>2878948992.760524</v>
      </c>
      <c r="F489" s="38">
        <f t="shared" si="308"/>
        <v>1851014593.1069553</v>
      </c>
      <c r="G489" s="38">
        <f t="shared" si="309"/>
        <v>823080193.453387</v>
      </c>
      <c r="H489" s="18">
        <f t="shared" si="316"/>
        <v>0.001833616555356686</v>
      </c>
      <c r="I489" s="50">
        <f t="shared" si="336"/>
        <v>0.023254656702309903</v>
      </c>
      <c r="J489" s="3">
        <f t="shared" si="317"/>
        <v>5.764012351849175</v>
      </c>
      <c r="K489" s="12">
        <f t="shared" si="334"/>
        <v>0.7774366052406096</v>
      </c>
      <c r="L489" s="3">
        <f t="shared" si="318"/>
        <v>1228.4115204374323</v>
      </c>
      <c r="M489" s="12">
        <f t="shared" si="335"/>
        <v>0.7215722840925312</v>
      </c>
      <c r="N489" s="37">
        <f t="shared" si="319"/>
        <v>82610.83743732472</v>
      </c>
      <c r="O489" s="1">
        <f t="shared" si="310"/>
        <v>346937.33653523854</v>
      </c>
      <c r="P489">
        <f t="shared" si="320"/>
        <v>589.0138678632605</v>
      </c>
      <c r="Q489" s="1">
        <f t="shared" si="321"/>
        <v>48658.92888638168</v>
      </c>
      <c r="R489" s="1">
        <f>+Q489*1000/'Material Properties'!AE$35</f>
        <v>41729236.26871579</v>
      </c>
      <c r="S489" s="1">
        <f t="shared" si="322"/>
        <v>714.5417169300649</v>
      </c>
      <c r="T489" s="1">
        <f t="shared" si="323"/>
        <v>273.3994381500992</v>
      </c>
      <c r="U489">
        <f t="shared" si="311"/>
        <v>3.127202905645798E-05</v>
      </c>
      <c r="V489">
        <f>+'Material Properties'!AE$31+'Material Properties'!AE$33</f>
        <v>0.00029034311030761144</v>
      </c>
      <c r="W489">
        <f t="shared" si="326"/>
        <v>0.0003216151393640694</v>
      </c>
      <c r="X489" s="1">
        <f>+'Volcano Summary'!E$12*10^9/Q489/3600/24/365</f>
        <v>0</v>
      </c>
      <c r="Y489" s="3">
        <f t="shared" si="327"/>
        <v>800</v>
      </c>
      <c r="Z489" s="1">
        <f>+Y489*'Volcano Summary'!B$19*'Volcano Summary'!B$20/1000</f>
        <v>32400000</v>
      </c>
      <c r="AA489" s="1">
        <f t="shared" si="312"/>
        <v>665859.2932790159</v>
      </c>
      <c r="AB489" s="3">
        <f t="shared" si="304"/>
        <v>184.96091479972665</v>
      </c>
      <c r="AC489" s="1">
        <f t="shared" si="328"/>
        <v>84944401.62731397</v>
      </c>
      <c r="AD489" s="36">
        <f t="shared" si="329"/>
        <v>23595.667118698315</v>
      </c>
      <c r="AE489" s="36">
        <f t="shared" si="337"/>
        <v>983.1527966124298</v>
      </c>
      <c r="AG489" s="1">
        <f t="shared" si="313"/>
        <v>32399999999.999996</v>
      </c>
      <c r="AH489" s="1">
        <f t="shared" si="330"/>
        <v>32400000</v>
      </c>
      <c r="AI489" s="1">
        <f t="shared" si="331"/>
        <v>32432399999.999996</v>
      </c>
      <c r="AJ489" s="1">
        <f t="shared" si="332"/>
        <v>1846800000000</v>
      </c>
      <c r="AK489" s="1">
        <f t="shared" si="333"/>
        <v>1848646800000</v>
      </c>
      <c r="AL489" s="39">
        <f>+AJ489/('Volcano Summary'!C$8)*10^6</f>
        <v>128210.17113730141</v>
      </c>
      <c r="AM489" s="1">
        <f t="shared" si="314"/>
        <v>983.1527966124298</v>
      </c>
    </row>
    <row r="490" spans="1:39" ht="12.75">
      <c r="A490" s="1">
        <f t="shared" si="324"/>
        <v>665859.2932790159</v>
      </c>
      <c r="B490" s="1">
        <f t="shared" si="325"/>
        <v>990.7412573831888</v>
      </c>
      <c r="C490" s="1">
        <f t="shared" si="306"/>
        <v>59200</v>
      </c>
      <c r="D490" s="1">
        <f t="shared" si="315"/>
        <v>274.5465007031079</v>
      </c>
      <c r="E490" s="38">
        <f t="shared" si="307"/>
        <v>2898600749.8561053</v>
      </c>
      <c r="F490" s="38">
        <f t="shared" si="308"/>
        <v>1863649651.6840909</v>
      </c>
      <c r="G490" s="38">
        <f t="shared" si="309"/>
        <v>828698553.5120766</v>
      </c>
      <c r="H490" s="18">
        <f t="shared" si="316"/>
        <v>0.0018211851133396724</v>
      </c>
      <c r="I490" s="50">
        <f t="shared" si="336"/>
        <v>0.0232295789173804</v>
      </c>
      <c r="J490" s="3">
        <f t="shared" si="317"/>
        <v>5.730536331348229</v>
      </c>
      <c r="K490" s="12">
        <f t="shared" si="334"/>
        <v>0.7757962802360634</v>
      </c>
      <c r="L490" s="3">
        <f t="shared" si="318"/>
        <v>1225.8196767819325</v>
      </c>
      <c r="M490" s="12">
        <f t="shared" si="335"/>
        <v>0.7208023356210094</v>
      </c>
      <c r="N490" s="37">
        <f t="shared" si="319"/>
        <v>83742.49274468531</v>
      </c>
      <c r="O490" s="1">
        <f t="shared" si="310"/>
        <v>348227.75274099526</v>
      </c>
      <c r="P490">
        <f t="shared" si="320"/>
        <v>590.108255103244</v>
      </c>
      <c r="Q490" s="1">
        <f t="shared" si="321"/>
        <v>49417.136271562325</v>
      </c>
      <c r="R490" s="1">
        <f>+Q490*1000/'Material Properties'!AE$35</f>
        <v>42379464.62024334</v>
      </c>
      <c r="S490" s="1">
        <f t="shared" si="322"/>
        <v>715.8693348014078</v>
      </c>
      <c r="T490" s="1">
        <f t="shared" si="323"/>
        <v>274.8333312943357</v>
      </c>
      <c r="U490">
        <f t="shared" si="311"/>
        <v>3.1109405452485506E-05</v>
      </c>
      <c r="V490">
        <f>+'Material Properties'!AE$31+'Material Properties'!AE$33</f>
        <v>0.00029034311030761144</v>
      </c>
      <c r="W490">
        <f t="shared" si="326"/>
        <v>0.00032145251576009697</v>
      </c>
      <c r="X490" s="1">
        <f>+'Volcano Summary'!E$12*10^9/Q490/3600/24/365</f>
        <v>0</v>
      </c>
      <c r="Y490" s="3">
        <f t="shared" si="327"/>
        <v>800</v>
      </c>
      <c r="Z490" s="1">
        <f>+Y490*'Volcano Summary'!B$19*'Volcano Summary'!B$20/1000</f>
        <v>32400000</v>
      </c>
      <c r="AA490" s="1">
        <f t="shared" si="312"/>
        <v>655643.0105935734</v>
      </c>
      <c r="AB490" s="3">
        <f t="shared" si="304"/>
        <v>182.12305849821485</v>
      </c>
      <c r="AC490" s="1">
        <f t="shared" si="328"/>
        <v>85600044.63790755</v>
      </c>
      <c r="AD490" s="36">
        <f t="shared" si="329"/>
        <v>23777.79017719653</v>
      </c>
      <c r="AE490" s="36">
        <f t="shared" si="337"/>
        <v>990.7412573831888</v>
      </c>
      <c r="AG490" s="1">
        <f t="shared" si="313"/>
        <v>32400000000</v>
      </c>
      <c r="AH490" s="1">
        <f t="shared" si="330"/>
        <v>32400000</v>
      </c>
      <c r="AI490" s="1">
        <f t="shared" si="331"/>
        <v>32432400000</v>
      </c>
      <c r="AJ490" s="1">
        <f t="shared" si="332"/>
        <v>1879200000000</v>
      </c>
      <c r="AK490" s="1">
        <f t="shared" si="333"/>
        <v>1881079200000</v>
      </c>
      <c r="AL490" s="39">
        <f>+AJ490/('Volcano Summary'!C$8)*10^6</f>
        <v>130459.47238532423</v>
      </c>
      <c r="AM490" s="1">
        <f t="shared" si="314"/>
        <v>990.7412573831888</v>
      </c>
    </row>
    <row r="491" spans="1:39" ht="12.75">
      <c r="A491" s="1">
        <f t="shared" si="324"/>
        <v>655643.0105935734</v>
      </c>
      <c r="B491" s="1">
        <f t="shared" si="325"/>
        <v>998.2148407535093</v>
      </c>
      <c r="C491" s="1">
        <f t="shared" si="306"/>
        <v>60000</v>
      </c>
      <c r="D491" s="1">
        <f t="shared" si="315"/>
        <v>276.3953195770684</v>
      </c>
      <c r="E491" s="38">
        <f t="shared" si="307"/>
        <v>2918120167.3707557</v>
      </c>
      <c r="F491" s="38">
        <f t="shared" si="308"/>
        <v>1876199622.7879276</v>
      </c>
      <c r="G491" s="38">
        <f t="shared" si="309"/>
        <v>834279078.2051002</v>
      </c>
      <c r="H491" s="18">
        <f t="shared" si="316"/>
        <v>0.001809003136395669</v>
      </c>
      <c r="I491" s="50">
        <f t="shared" si="336"/>
        <v>0.023204890704372372</v>
      </c>
      <c r="J491" s="3">
        <f t="shared" si="317"/>
        <v>5.697772006392833</v>
      </c>
      <c r="K491" s="12">
        <f t="shared" si="334"/>
        <v>0.774190828313249</v>
      </c>
      <c r="L491" s="3">
        <f t="shared" si="318"/>
        <v>1223.2829353625043</v>
      </c>
      <c r="M491" s="12">
        <f t="shared" si="335"/>
        <v>0.7200487561470352</v>
      </c>
      <c r="N491" s="37">
        <f t="shared" si="319"/>
        <v>84874.14805204594</v>
      </c>
      <c r="O491" s="1">
        <f t="shared" si="310"/>
        <v>349505.4178751329</v>
      </c>
      <c r="P491">
        <f t="shared" si="320"/>
        <v>591.1898323509403</v>
      </c>
      <c r="Q491" s="1">
        <f t="shared" si="321"/>
        <v>50176.733357817924</v>
      </c>
      <c r="R491" s="1">
        <f>+Q491*1000/'Material Properties'!AE$35</f>
        <v>43030884.76053047</v>
      </c>
      <c r="S491" s="1">
        <f t="shared" si="322"/>
        <v>717.1814126755079</v>
      </c>
      <c r="T491" s="1">
        <f t="shared" si="323"/>
        <v>276.2285063727444</v>
      </c>
      <c r="U491">
        <f t="shared" si="311"/>
        <v>3.095278833734456E-05</v>
      </c>
      <c r="V491">
        <f>+'Material Properties'!AE$31+'Material Properties'!AE$33</f>
        <v>0.00029034311030761144</v>
      </c>
      <c r="W491">
        <f t="shared" si="326"/>
        <v>0.000321295898644956</v>
      </c>
      <c r="X491" s="1">
        <f>+'Volcano Summary'!E$12*10^9/Q491/3600/24/365</f>
        <v>0</v>
      </c>
      <c r="Y491" s="3">
        <f t="shared" si="327"/>
        <v>800</v>
      </c>
      <c r="Z491" s="1">
        <f>+Y491*'Volcano Summary'!B$19*'Volcano Summary'!B$20/1000</f>
        <v>32400000</v>
      </c>
      <c r="AA491" s="1">
        <f t="shared" si="312"/>
        <v>645717.6031957016</v>
      </c>
      <c r="AB491" s="3">
        <f t="shared" si="304"/>
        <v>179.3660008876949</v>
      </c>
      <c r="AC491" s="1">
        <f t="shared" si="328"/>
        <v>86245762.24110325</v>
      </c>
      <c r="AD491" s="36">
        <f t="shared" si="329"/>
        <v>23957.156178084224</v>
      </c>
      <c r="AE491" s="36">
        <f t="shared" si="337"/>
        <v>998.2148407535093</v>
      </c>
      <c r="AG491" s="1">
        <f t="shared" si="313"/>
        <v>32400000000</v>
      </c>
      <c r="AH491" s="1">
        <f t="shared" si="330"/>
        <v>32400000</v>
      </c>
      <c r="AI491" s="1">
        <f t="shared" si="331"/>
        <v>32432400000</v>
      </c>
      <c r="AJ491" s="1">
        <f t="shared" si="332"/>
        <v>1911600000000</v>
      </c>
      <c r="AK491" s="1">
        <f t="shared" si="333"/>
        <v>1913511600000</v>
      </c>
      <c r="AL491" s="39">
        <f>+AJ491/('Volcano Summary'!C$8)*10^6</f>
        <v>132708.77363334704</v>
      </c>
      <c r="AM491" s="1">
        <f t="shared" si="314"/>
        <v>998.2148407535093</v>
      </c>
    </row>
    <row r="492" spans="1:39" ht="12.75">
      <c r="A492" s="1">
        <f t="shared" si="324"/>
        <v>645717.6031957016</v>
      </c>
      <c r="B492" s="1">
        <f t="shared" si="325"/>
        <v>1005.5767747712821</v>
      </c>
      <c r="C492" s="1">
        <f t="shared" si="306"/>
        <v>60800</v>
      </c>
      <c r="D492" s="1">
        <f t="shared" si="315"/>
        <v>278.2318535320819</v>
      </c>
      <c r="E492" s="38">
        <f t="shared" si="307"/>
        <v>2937509883.4498367</v>
      </c>
      <c r="F492" s="38">
        <f t="shared" si="308"/>
        <v>1888666202.6088383</v>
      </c>
      <c r="G492" s="38">
        <f t="shared" si="309"/>
        <v>839822521.7678407</v>
      </c>
      <c r="H492" s="18">
        <f t="shared" si="316"/>
        <v>0.0017970623911411595</v>
      </c>
      <c r="I492" s="50">
        <f t="shared" si="336"/>
        <v>0.023180580882161624</v>
      </c>
      <c r="J492" s="3">
        <f t="shared" si="317"/>
        <v>5.665695010813842</v>
      </c>
      <c r="K492" s="12">
        <f t="shared" si="334"/>
        <v>0.7726190555298784</v>
      </c>
      <c r="L492" s="3">
        <f t="shared" si="318"/>
        <v>1220.7994096556013</v>
      </c>
      <c r="M492" s="12">
        <f t="shared" si="335"/>
        <v>0.7193109852487184</v>
      </c>
      <c r="N492" s="37">
        <f t="shared" si="319"/>
        <v>86005.80335940656</v>
      </c>
      <c r="O492" s="1">
        <f t="shared" si="310"/>
        <v>350770.59572882915</v>
      </c>
      <c r="P492">
        <f t="shared" si="320"/>
        <v>592.2588924860725</v>
      </c>
      <c r="Q492" s="1">
        <f t="shared" si="321"/>
        <v>50937.70184501706</v>
      </c>
      <c r="R492" s="1">
        <f>+Q492*1000/'Material Properties'!AE$35</f>
        <v>43683480.99563311</v>
      </c>
      <c r="S492" s="1">
        <f t="shared" si="322"/>
        <v>718.4783058492288</v>
      </c>
      <c r="T492" s="1">
        <f t="shared" si="323"/>
        <v>277.58652277605745</v>
      </c>
      <c r="U492">
        <f t="shared" si="311"/>
        <v>3.080184963527964E-05</v>
      </c>
      <c r="V492">
        <f>+'Material Properties'!AE$31+'Material Properties'!AE$33</f>
        <v>0.00029034311030761144</v>
      </c>
      <c r="W492">
        <f t="shared" si="326"/>
        <v>0.00032114495994289106</v>
      </c>
      <c r="X492" s="1">
        <f>+'Volcano Summary'!E$12*10^9/Q492/3600/24/365</f>
        <v>0</v>
      </c>
      <c r="Y492" s="3">
        <f t="shared" si="327"/>
        <v>800</v>
      </c>
      <c r="Z492" s="1">
        <f>+Y492*'Volcano Summary'!B$19*'Volcano Summary'!B$20/1000</f>
        <v>32400000</v>
      </c>
      <c r="AA492" s="1">
        <f t="shared" si="312"/>
        <v>636071.0991355709</v>
      </c>
      <c r="AB492" s="3">
        <f t="shared" si="304"/>
        <v>176.68641642654748</v>
      </c>
      <c r="AC492" s="1">
        <f t="shared" si="328"/>
        <v>86881833.34023882</v>
      </c>
      <c r="AD492" s="36">
        <f t="shared" si="329"/>
        <v>24133.84259451077</v>
      </c>
      <c r="AE492" s="36">
        <f t="shared" si="337"/>
        <v>1005.5767747712821</v>
      </c>
      <c r="AG492" s="1">
        <f t="shared" si="313"/>
        <v>32400000000</v>
      </c>
      <c r="AH492" s="1">
        <f t="shared" si="330"/>
        <v>32400000</v>
      </c>
      <c r="AI492" s="1">
        <f t="shared" si="331"/>
        <v>32432400000</v>
      </c>
      <c r="AJ492" s="1">
        <f t="shared" si="332"/>
        <v>1944000000000</v>
      </c>
      <c r="AK492" s="1">
        <f t="shared" si="333"/>
        <v>1945944000000</v>
      </c>
      <c r="AL492" s="39">
        <f>+AJ492/('Volcano Summary'!C$8)*10^6</f>
        <v>134958.0748813699</v>
      </c>
      <c r="AM492" s="1">
        <f t="shared" si="314"/>
        <v>1005.5767747712821</v>
      </c>
    </row>
    <row r="493" spans="1:39" ht="12.75">
      <c r="A493" s="1">
        <f t="shared" si="324"/>
        <v>636071.0991355709</v>
      </c>
      <c r="B493" s="1">
        <f t="shared" si="325"/>
        <v>1012.8301563347178</v>
      </c>
      <c r="C493" s="1">
        <f t="shared" si="306"/>
        <v>61600</v>
      </c>
      <c r="D493" s="1">
        <f t="shared" si="315"/>
        <v>280.0563442518059</v>
      </c>
      <c r="E493" s="38">
        <f t="shared" si="307"/>
        <v>2956772449.7355247</v>
      </c>
      <c r="F493" s="38">
        <f t="shared" si="308"/>
        <v>1901051031.7201424</v>
      </c>
      <c r="G493" s="38">
        <f t="shared" si="309"/>
        <v>845329613.7047598</v>
      </c>
      <c r="H493" s="18">
        <f t="shared" si="316"/>
        <v>0.001785355019668603</v>
      </c>
      <c r="I493" s="50">
        <f t="shared" si="336"/>
        <v>0.023156638733269837</v>
      </c>
      <c r="J493" s="3">
        <f t="shared" si="317"/>
        <v>5.634282120109571</v>
      </c>
      <c r="K493" s="12">
        <f t="shared" si="334"/>
        <v>0.7710798238853691</v>
      </c>
      <c r="L493" s="3">
        <f t="shared" si="318"/>
        <v>1218.3673015300108</v>
      </c>
      <c r="M493" s="12">
        <f t="shared" si="335"/>
        <v>0.7185884887625202</v>
      </c>
      <c r="N493" s="37">
        <f t="shared" si="319"/>
        <v>87137.45866676717</v>
      </c>
      <c r="O493" s="1">
        <f t="shared" si="310"/>
        <v>352023.54150998715</v>
      </c>
      <c r="P493">
        <f t="shared" si="320"/>
        <v>593.3157182394439</v>
      </c>
      <c r="Q493" s="1">
        <f t="shared" si="321"/>
        <v>51700.023874432816</v>
      </c>
      <c r="R493" s="1">
        <f>+Q493*1000/'Material Properties'!AE$35</f>
        <v>44337238.010149725</v>
      </c>
      <c r="S493" s="1">
        <f t="shared" si="322"/>
        <v>719.7603573076254</v>
      </c>
      <c r="T493" s="1">
        <f t="shared" si="323"/>
        <v>278.90885723855763</v>
      </c>
      <c r="U493">
        <f t="shared" si="311"/>
        <v>3.0656284739002056E-05</v>
      </c>
      <c r="V493">
        <f>+'Material Properties'!AE$31+'Material Properties'!AE$33</f>
        <v>0.00029034311030761144</v>
      </c>
      <c r="W493">
        <f t="shared" si="326"/>
        <v>0.0003209993950466135</v>
      </c>
      <c r="X493" s="1">
        <f>+'Volcano Summary'!E$12*10^9/Q493/3600/24/365</f>
        <v>0</v>
      </c>
      <c r="Y493" s="3">
        <f t="shared" si="327"/>
        <v>800</v>
      </c>
      <c r="Z493" s="1">
        <f>+Y493*'Volcano Summary'!B$19*'Volcano Summary'!B$20/1000</f>
        <v>32400000</v>
      </c>
      <c r="AA493" s="1">
        <f t="shared" si="312"/>
        <v>626692.1670808503</v>
      </c>
      <c r="AB493" s="3">
        <f t="shared" si="304"/>
        <v>174.08115752245843</v>
      </c>
      <c r="AC493" s="1">
        <f t="shared" si="328"/>
        <v>87508525.50731967</v>
      </c>
      <c r="AD493" s="36">
        <f t="shared" si="329"/>
        <v>24307.923752033228</v>
      </c>
      <c r="AE493" s="36">
        <f t="shared" si="337"/>
        <v>1012.8301563347178</v>
      </c>
      <c r="AG493" s="1">
        <f t="shared" si="313"/>
        <v>32400000000.000004</v>
      </c>
      <c r="AH493" s="1">
        <f t="shared" si="330"/>
        <v>32400000</v>
      </c>
      <c r="AI493" s="1">
        <f t="shared" si="331"/>
        <v>32432400000.000004</v>
      </c>
      <c r="AJ493" s="1">
        <f t="shared" si="332"/>
        <v>1976400000000</v>
      </c>
      <c r="AK493" s="1">
        <f t="shared" si="333"/>
        <v>1978376400000</v>
      </c>
      <c r="AL493" s="39">
        <f>+AJ493/('Volcano Summary'!C$8)*10^6</f>
        <v>137207.3761293927</v>
      </c>
      <c r="AM493" s="1">
        <f t="shared" si="314"/>
        <v>1012.8301563347178</v>
      </c>
    </row>
    <row r="494" spans="1:39" ht="12.75">
      <c r="A494" s="1">
        <f t="shared" si="324"/>
        <v>626692.1670808503</v>
      </c>
      <c r="B494" s="1">
        <f t="shared" si="325"/>
        <v>1019.9779581208578</v>
      </c>
      <c r="C494" s="1">
        <f t="shared" si="306"/>
        <v>62400</v>
      </c>
      <c r="D494" s="1">
        <f t="shared" si="315"/>
        <v>281.86902559783715</v>
      </c>
      <c r="E494" s="38">
        <f t="shared" si="307"/>
        <v>2975910335.2864256</v>
      </c>
      <c r="F494" s="38">
        <f t="shared" si="308"/>
        <v>1913355697.5982137</v>
      </c>
      <c r="G494" s="38">
        <f t="shared" si="309"/>
        <v>850801059.9100016</v>
      </c>
      <c r="H494" s="18">
        <f t="shared" si="316"/>
        <v>0.0017738735178138589</v>
      </c>
      <c r="I494" s="50">
        <f t="shared" si="336"/>
        <v>0.02313305397888295</v>
      </c>
      <c r="J494" s="3">
        <f t="shared" si="317"/>
        <v>5.603511183929898</v>
      </c>
      <c r="K494" s="12">
        <f t="shared" si="334"/>
        <v>0.7695720480125652</v>
      </c>
      <c r="L494" s="3">
        <f t="shared" si="318"/>
        <v>1215.9848960195104</v>
      </c>
      <c r="M494" s="12">
        <f t="shared" si="335"/>
        <v>0.7178807572303877</v>
      </c>
      <c r="N494" s="37">
        <f t="shared" si="319"/>
        <v>88269.11397412782</v>
      </c>
      <c r="O494" s="1">
        <f t="shared" si="310"/>
        <v>353264.5022260654</v>
      </c>
      <c r="P494">
        <f t="shared" si="320"/>
        <v>594.3605826651574</v>
      </c>
      <c r="Q494" s="1">
        <f t="shared" si="321"/>
        <v>52463.682012999794</v>
      </c>
      <c r="R494" s="1">
        <f>+Q494*1000/'Material Properties'!AE$35</f>
        <v>44992140.853720285</v>
      </c>
      <c r="S494" s="1">
        <f t="shared" si="322"/>
        <v>721.0278982967994</v>
      </c>
      <c r="T494" s="1">
        <f t="shared" si="323"/>
        <v>280.1969092374296</v>
      </c>
      <c r="U494">
        <f t="shared" si="311"/>
        <v>3.0515810448682816E-05</v>
      </c>
      <c r="V494">
        <f>+'Material Properties'!AE$31+'Material Properties'!AE$33</f>
        <v>0.00029034311030761144</v>
      </c>
      <c r="W494">
        <f t="shared" si="326"/>
        <v>0.00032085892075629427</v>
      </c>
      <c r="X494" s="1">
        <f>+'Volcano Summary'!E$12*10^9/Q494/3600/24/365</f>
        <v>0</v>
      </c>
      <c r="Y494" s="3">
        <f t="shared" si="327"/>
        <v>800</v>
      </c>
      <c r="Z494" s="1">
        <f>+Y494*'Volcano Summary'!B$19*'Volcano Summary'!B$20/1000</f>
        <v>32400000</v>
      </c>
      <c r="AA494" s="1">
        <f t="shared" si="312"/>
        <v>617570.0743224944</v>
      </c>
      <c r="AB494" s="3">
        <f t="shared" si="304"/>
        <v>171.54724286735956</v>
      </c>
      <c r="AC494" s="1">
        <f t="shared" si="328"/>
        <v>88126095.58164217</v>
      </c>
      <c r="AD494" s="36">
        <f t="shared" si="329"/>
        <v>24479.47099490059</v>
      </c>
      <c r="AE494" s="36">
        <f t="shared" si="337"/>
        <v>1019.9779581208578</v>
      </c>
      <c r="AG494" s="1">
        <f t="shared" si="313"/>
        <v>32399999999.999996</v>
      </c>
      <c r="AH494" s="1">
        <f t="shared" si="330"/>
        <v>32400000</v>
      </c>
      <c r="AI494" s="1">
        <f t="shared" si="331"/>
        <v>32432399999.999996</v>
      </c>
      <c r="AJ494" s="1">
        <f t="shared" si="332"/>
        <v>2008800000000</v>
      </c>
      <c r="AK494" s="1">
        <f t="shared" si="333"/>
        <v>2010808800000</v>
      </c>
      <c r="AL494" s="39">
        <f>+AJ494/('Volcano Summary'!C$8)*10^6</f>
        <v>139456.67737741553</v>
      </c>
      <c r="AM494" s="1">
        <f t="shared" si="314"/>
        <v>1019.9779581208578</v>
      </c>
    </row>
    <row r="495" spans="1:39" ht="12.75">
      <c r="A495" s="1">
        <f t="shared" si="324"/>
        <v>617570.0743224944</v>
      </c>
      <c r="B495" s="1">
        <f t="shared" si="325"/>
        <v>1027.0230350656113</v>
      </c>
      <c r="C495" s="1">
        <f t="shared" si="306"/>
        <v>63200</v>
      </c>
      <c r="D495" s="1">
        <f t="shared" si="315"/>
        <v>283.67012395961314</v>
      </c>
      <c r="E495" s="38">
        <f t="shared" si="307"/>
        <v>2994925930.2717505</v>
      </c>
      <c r="F495" s="38">
        <f t="shared" si="308"/>
        <v>1925581736.997646</v>
      </c>
      <c r="G495" s="38">
        <f t="shared" si="309"/>
        <v>856237543.7235425</v>
      </c>
      <c r="H495" s="18">
        <f t="shared" si="316"/>
        <v>0.0017626107149415083</v>
      </c>
      <c r="I495" s="50">
        <f t="shared" si="336"/>
        <v>0.023109816755517463</v>
      </c>
      <c r="J495" s="3">
        <f t="shared" si="317"/>
        <v>5.573361063360989</v>
      </c>
      <c r="K495" s="12">
        <f t="shared" si="334"/>
        <v>0.7680946921046885</v>
      </c>
      <c r="L495" s="3">
        <f t="shared" si="318"/>
        <v>1213.6505564672066</v>
      </c>
      <c r="M495" s="12">
        <f t="shared" si="335"/>
        <v>0.7171873044573028</v>
      </c>
      <c r="N495" s="37">
        <f t="shared" si="319"/>
        <v>89400.7692814884</v>
      </c>
      <c r="O495" s="1">
        <f t="shared" si="310"/>
        <v>354493.717045249</v>
      </c>
      <c r="P495">
        <f t="shared" si="320"/>
        <v>595.3937495853052</v>
      </c>
      <c r="Q495" s="1">
        <f t="shared" si="321"/>
        <v>53228.65923831615</v>
      </c>
      <c r="R495" s="1">
        <f>+Q495*1000/'Material Properties'!AE$35</f>
        <v>45648174.928164266</v>
      </c>
      <c r="S495" s="1">
        <f t="shared" si="322"/>
        <v>722.2812488633587</v>
      </c>
      <c r="T495" s="1">
        <f t="shared" si="323"/>
        <v>281.4520059748437</v>
      </c>
      <c r="U495">
        <f t="shared" si="311"/>
        <v>3.0380163124338677E-05</v>
      </c>
      <c r="V495">
        <f>+'Material Properties'!AE$31+'Material Properties'!AE$33</f>
        <v>0.00029034311030761144</v>
      </c>
      <c r="W495">
        <f t="shared" si="326"/>
        <v>0.0003207232734319501</v>
      </c>
      <c r="X495" s="1">
        <f>+'Volcano Summary'!E$12*10^9/Q495/3600/24/365</f>
        <v>0</v>
      </c>
      <c r="Y495" s="3">
        <f t="shared" si="327"/>
        <v>800</v>
      </c>
      <c r="Z495" s="1">
        <f>+Y495*'Volcano Summary'!B$19*'Volcano Summary'!B$20/1000</f>
        <v>32400000</v>
      </c>
      <c r="AA495" s="1">
        <f t="shared" si="312"/>
        <v>608694.6480267</v>
      </c>
      <c r="AB495" s="3">
        <f t="shared" si="304"/>
        <v>169.08184667408335</v>
      </c>
      <c r="AC495" s="1">
        <f t="shared" si="328"/>
        <v>88734790.22966887</v>
      </c>
      <c r="AD495" s="36">
        <f t="shared" si="329"/>
        <v>24648.55284157467</v>
      </c>
      <c r="AE495" s="36">
        <f t="shared" si="337"/>
        <v>1027.0230350656113</v>
      </c>
      <c r="AG495" s="1">
        <f t="shared" si="313"/>
        <v>32400000000</v>
      </c>
      <c r="AH495" s="1">
        <f t="shared" si="330"/>
        <v>32400000</v>
      </c>
      <c r="AI495" s="1">
        <f t="shared" si="331"/>
        <v>32432400000</v>
      </c>
      <c r="AJ495" s="1">
        <f t="shared" si="332"/>
        <v>2041200000000</v>
      </c>
      <c r="AK495" s="1">
        <f t="shared" si="333"/>
        <v>2043241200000</v>
      </c>
      <c r="AL495" s="39">
        <f>+AJ495/('Volcano Summary'!C$8)*10^6</f>
        <v>141705.97862543838</v>
      </c>
      <c r="AM495" s="1">
        <f t="shared" si="314"/>
        <v>1027.0230350656113</v>
      </c>
    </row>
    <row r="496" spans="1:39" ht="12.75">
      <c r="A496" s="1">
        <f t="shared" si="324"/>
        <v>608694.6480267</v>
      </c>
      <c r="B496" s="1">
        <f t="shared" si="325"/>
        <v>1033.9681304295566</v>
      </c>
      <c r="C496" s="1">
        <f t="shared" si="306"/>
        <v>64000</v>
      </c>
      <c r="D496" s="1">
        <f t="shared" si="315"/>
        <v>285.4598585844434</v>
      </c>
      <c r="E496" s="38">
        <f t="shared" si="307"/>
        <v>3013821549.455716</v>
      </c>
      <c r="F496" s="38">
        <f t="shared" si="308"/>
        <v>1937730638.1915421</v>
      </c>
      <c r="G496" s="38">
        <f t="shared" si="309"/>
        <v>861639726.9273677</v>
      </c>
      <c r="H496" s="18">
        <f t="shared" si="316"/>
        <v>0.0017515597551243526</v>
      </c>
      <c r="I496" s="50">
        <f t="shared" si="336"/>
        <v>0.02308691759320664</v>
      </c>
      <c r="J496" s="3">
        <f t="shared" si="317"/>
        <v>5.543811572613313</v>
      </c>
      <c r="K496" s="12">
        <f t="shared" si="334"/>
        <v>0.7666467670580525</v>
      </c>
      <c r="L496" s="3">
        <f t="shared" si="318"/>
        <v>1211.3627200107958</v>
      </c>
      <c r="M496" s="12">
        <f t="shared" si="335"/>
        <v>0.7165076661701063</v>
      </c>
      <c r="N496" s="37">
        <f t="shared" si="319"/>
        <v>90532.42458884903</v>
      </c>
      <c r="O496" s="1">
        <f t="shared" si="310"/>
        <v>355711.41763744334</v>
      </c>
      <c r="P496">
        <f t="shared" si="320"/>
        <v>596.415474009053</v>
      </c>
      <c r="Q496" s="1">
        <f t="shared" si="321"/>
        <v>53994.93892434724</v>
      </c>
      <c r="R496" s="1">
        <f>+Q496*1000/'Material Properties'!AE$35</f>
        <v>46305325.975220256</v>
      </c>
      <c r="S496" s="1">
        <f t="shared" si="322"/>
        <v>723.5207183628165</v>
      </c>
      <c r="T496" s="1">
        <f t="shared" si="323"/>
        <v>282.67540697987044</v>
      </c>
      <c r="U496">
        <f t="shared" si="311"/>
        <v>3.0249097026276686E-05</v>
      </c>
      <c r="V496">
        <f>+'Material Properties'!AE$31+'Material Properties'!AE$33</f>
        <v>0.00029034311030761144</v>
      </c>
      <c r="W496">
        <f t="shared" si="326"/>
        <v>0.00032059220733388815</v>
      </c>
      <c r="X496" s="1">
        <f>+'Volcano Summary'!E$12*10^9/Q496/3600/24/365</f>
        <v>0</v>
      </c>
      <c r="Y496" s="3">
        <f t="shared" si="327"/>
        <v>800</v>
      </c>
      <c r="Z496" s="1">
        <f>+Y496*'Volcano Summary'!B$19*'Volcano Summary'!B$20/1000</f>
        <v>32400000</v>
      </c>
      <c r="AA496" s="1">
        <f t="shared" si="312"/>
        <v>600056.2394448841</v>
      </c>
      <c r="AB496" s="3">
        <f t="shared" si="304"/>
        <v>166.68228873469005</v>
      </c>
      <c r="AC496" s="1">
        <f t="shared" si="328"/>
        <v>89334846.46911375</v>
      </c>
      <c r="AD496" s="36">
        <f t="shared" si="329"/>
        <v>24815.23513030936</v>
      </c>
      <c r="AE496" s="36">
        <f t="shared" si="337"/>
        <v>1033.9681304295566</v>
      </c>
      <c r="AG496" s="1">
        <f t="shared" si="313"/>
        <v>32400000000</v>
      </c>
      <c r="AH496" s="1">
        <f t="shared" si="330"/>
        <v>32400000</v>
      </c>
      <c r="AI496" s="1">
        <f t="shared" si="331"/>
        <v>32432400000</v>
      </c>
      <c r="AJ496" s="1">
        <f t="shared" si="332"/>
        <v>2073600000000</v>
      </c>
      <c r="AK496" s="1">
        <f t="shared" si="333"/>
        <v>2075673600000</v>
      </c>
      <c r="AL496" s="39">
        <f>+AJ496/('Volcano Summary'!C$8)*10^6</f>
        <v>143955.2798734612</v>
      </c>
      <c r="AM496" s="1">
        <f t="shared" si="314"/>
        <v>1033.9681304295566</v>
      </c>
    </row>
    <row r="497" spans="1:39" ht="12.75">
      <c r="A497" s="1">
        <f t="shared" si="324"/>
        <v>600056.2394448841</v>
      </c>
      <c r="B497" s="1">
        <f t="shared" si="325"/>
        <v>1040.8158814807414</v>
      </c>
      <c r="C497" s="1">
        <f t="shared" si="306"/>
        <v>64800</v>
      </c>
      <c r="D497" s="1">
        <f t="shared" si="315"/>
        <v>287.23844188903155</v>
      </c>
      <c r="E497" s="38">
        <f t="shared" si="307"/>
        <v>3032599435.486527</v>
      </c>
      <c r="F497" s="38">
        <f t="shared" si="308"/>
        <v>1949803843.086152</v>
      </c>
      <c r="G497" s="38">
        <f t="shared" si="309"/>
        <v>867008250.6857775</v>
      </c>
      <c r="H497" s="18">
        <f t="shared" si="316"/>
        <v>0.0017407140796048613</v>
      </c>
      <c r="I497" s="50">
        <f t="shared" si="336"/>
        <v>0.02306434739508979</v>
      </c>
      <c r="J497" s="3">
        <f t="shared" si="317"/>
        <v>5.5148434247530504</v>
      </c>
      <c r="K497" s="12">
        <f t="shared" si="334"/>
        <v>0.7652273278128996</v>
      </c>
      <c r="L497" s="3">
        <f t="shared" si="318"/>
        <v>1209.1198933808778</v>
      </c>
      <c r="M497" s="12">
        <f t="shared" si="335"/>
        <v>0.7158413987693203</v>
      </c>
      <c r="N497" s="37">
        <f t="shared" si="319"/>
        <v>91664.07989620965</v>
      </c>
      <c r="O497" s="1">
        <f t="shared" si="310"/>
        <v>356917.82849645003</v>
      </c>
      <c r="P497">
        <f t="shared" si="320"/>
        <v>597.4260025278863</v>
      </c>
      <c r="Q497" s="1">
        <f t="shared" si="321"/>
        <v>54762.50482778932</v>
      </c>
      <c r="R497" s="1">
        <f>+Q497*1000/'Material Properties'!AE$35</f>
        <v>46963580.06485167</v>
      </c>
      <c r="S497" s="1">
        <f t="shared" si="322"/>
        <v>724.746605939069</v>
      </c>
      <c r="T497" s="1">
        <f t="shared" si="323"/>
        <v>283.8683083636106</v>
      </c>
      <c r="U497">
        <f t="shared" si="311"/>
        <v>3.0122382821641734E-05</v>
      </c>
      <c r="V497">
        <f>+'Material Properties'!AE$31+'Material Properties'!AE$33</f>
        <v>0.00029034311030761144</v>
      </c>
      <c r="W497">
        <f t="shared" si="326"/>
        <v>0.0003204654931292532</v>
      </c>
      <c r="X497" s="1">
        <f>+'Volcano Summary'!E$12*10^9/Q497/3600/24/365</f>
        <v>0</v>
      </c>
      <c r="Y497" s="3">
        <f t="shared" si="327"/>
        <v>800</v>
      </c>
      <c r="Z497" s="1">
        <f>+Y497*'Volcano Summary'!B$19*'Volcano Summary'!B$20/1000</f>
        <v>32400000</v>
      </c>
      <c r="AA497" s="1">
        <f t="shared" si="312"/>
        <v>591645.6908223557</v>
      </c>
      <c r="AB497" s="3">
        <f aca="true" t="shared" si="338" ref="AB497:AB560">+AA497/3600</f>
        <v>164.34602522843213</v>
      </c>
      <c r="AC497" s="1">
        <f t="shared" si="328"/>
        <v>89926492.15993612</v>
      </c>
      <c r="AD497" s="36">
        <f t="shared" si="329"/>
        <v>24979.58115553779</v>
      </c>
      <c r="AE497" s="36">
        <f t="shared" si="337"/>
        <v>1040.8158814807414</v>
      </c>
      <c r="AG497" s="1">
        <f t="shared" si="313"/>
        <v>32400000000</v>
      </c>
      <c r="AH497" s="1">
        <f t="shared" si="330"/>
        <v>32400000</v>
      </c>
      <c r="AI497" s="1">
        <f t="shared" si="331"/>
        <v>32432400000</v>
      </c>
      <c r="AJ497" s="1">
        <f t="shared" si="332"/>
        <v>2106000000000</v>
      </c>
      <c r="AK497" s="1">
        <f t="shared" si="333"/>
        <v>2108106000000</v>
      </c>
      <c r="AL497" s="39">
        <f>+AJ497/('Volcano Summary'!C$8)*10^6</f>
        <v>146204.58112148405</v>
      </c>
      <c r="AM497" s="1">
        <f t="shared" si="314"/>
        <v>1040.8158814807414</v>
      </c>
    </row>
    <row r="498" spans="1:39" ht="12.75">
      <c r="A498" s="1">
        <f t="shared" si="324"/>
        <v>591645.6908223557</v>
      </c>
      <c r="B498" s="1">
        <f t="shared" si="325"/>
        <v>1047.5688248230092</v>
      </c>
      <c r="C498" s="1">
        <f t="shared" si="306"/>
        <v>65600</v>
      </c>
      <c r="D498" s="1">
        <f t="shared" si="315"/>
        <v>289.00607975374265</v>
      </c>
      <c r="E498" s="38">
        <f t="shared" si="307"/>
        <v>3051261762.003179</v>
      </c>
      <c r="F498" s="38">
        <f t="shared" si="308"/>
        <v>1961802749.2183955</v>
      </c>
      <c r="G498" s="38">
        <f t="shared" si="309"/>
        <v>872343736.4336121</v>
      </c>
      <c r="H498" s="18">
        <f t="shared" si="316"/>
        <v>0.001730067410436631</v>
      </c>
      <c r="I498" s="50">
        <f t="shared" si="336"/>
        <v>0.023042097418298373</v>
      </c>
      <c r="J498" s="3">
        <f t="shared" si="317"/>
        <v>5.486438181150405</v>
      </c>
      <c r="K498" s="12">
        <f t="shared" si="334"/>
        <v>0.7638354708763699</v>
      </c>
      <c r="L498" s="3">
        <f t="shared" si="318"/>
        <v>1206.9206489870476</v>
      </c>
      <c r="M498" s="12">
        <f t="shared" si="335"/>
        <v>0.7151880781664594</v>
      </c>
      <c r="N498" s="37">
        <f t="shared" si="319"/>
        <v>92795.73520357022</v>
      </c>
      <c r="O498" s="1">
        <f t="shared" si="310"/>
        <v>358113.16724458203</v>
      </c>
      <c r="P498">
        <f t="shared" si="320"/>
        <v>598.4255736886435</v>
      </c>
      <c r="Q498" s="1">
        <f t="shared" si="321"/>
        <v>55531.341075055956</v>
      </c>
      <c r="R498" s="1">
        <f>+Q498*1000/'Material Properties'!AE$35</f>
        <v>47622923.584086455</v>
      </c>
      <c r="S498" s="1">
        <f t="shared" si="322"/>
        <v>725.9592009769277</v>
      </c>
      <c r="T498" s="1">
        <f t="shared" si="323"/>
        <v>285.03184675761213</v>
      </c>
      <c r="U498">
        <f t="shared" si="311"/>
        <v>2.9999806237993453E-05</v>
      </c>
      <c r="V498">
        <f>+'Material Properties'!AE$31+'Material Properties'!AE$33</f>
        <v>0.00029034311030761144</v>
      </c>
      <c r="W498">
        <f t="shared" si="326"/>
        <v>0.0003203429165456049</v>
      </c>
      <c r="X498" s="1">
        <f>+'Volcano Summary'!E$12*10^9/Q498/3600/24/365</f>
        <v>0</v>
      </c>
      <c r="Y498" s="3">
        <f t="shared" si="327"/>
        <v>800</v>
      </c>
      <c r="Z498" s="1">
        <f>+Y498*'Volcano Summary'!B$19*'Volcano Summary'!B$20/1000</f>
        <v>32400000</v>
      </c>
      <c r="AA498" s="1">
        <f t="shared" si="312"/>
        <v>583454.3047719356</v>
      </c>
      <c r="AB498" s="3">
        <f t="shared" si="338"/>
        <v>162.07064021442653</v>
      </c>
      <c r="AC498" s="1">
        <f t="shared" si="328"/>
        <v>90509946.46470805</v>
      </c>
      <c r="AD498" s="36">
        <f t="shared" si="329"/>
        <v>25141.65179575222</v>
      </c>
      <c r="AE498" s="36">
        <f t="shared" si="337"/>
        <v>1047.5688248230092</v>
      </c>
      <c r="AG498" s="1">
        <f t="shared" si="313"/>
        <v>32400000000</v>
      </c>
      <c r="AH498" s="1">
        <f t="shared" si="330"/>
        <v>32400000</v>
      </c>
      <c r="AI498" s="1">
        <f t="shared" si="331"/>
        <v>32432400000</v>
      </c>
      <c r="AJ498" s="1">
        <f t="shared" si="332"/>
        <v>2138400000000</v>
      </c>
      <c r="AK498" s="1">
        <f t="shared" si="333"/>
        <v>2140538400000</v>
      </c>
      <c r="AL498" s="39">
        <f>+AJ498/('Volcano Summary'!C$8)*10^6</f>
        <v>148453.88236950687</v>
      </c>
      <c r="AM498" s="1">
        <f t="shared" si="314"/>
        <v>1047.5688248230092</v>
      </c>
    </row>
    <row r="499" spans="1:39" ht="12.75">
      <c r="A499" s="1">
        <f t="shared" si="324"/>
        <v>583454.3047719356</v>
      </c>
      <c r="B499" s="1">
        <f t="shared" si="325"/>
        <v>1054.2294013959443</v>
      </c>
      <c r="C499" s="1">
        <f t="shared" si="306"/>
        <v>66400</v>
      </c>
      <c r="D499" s="1">
        <f t="shared" si="315"/>
        <v>290.76297180076904</v>
      </c>
      <c r="E499" s="38">
        <f t="shared" si="307"/>
        <v>3069810636.5722775</v>
      </c>
      <c r="F499" s="38">
        <f t="shared" si="308"/>
        <v>1973728711.6440759</v>
      </c>
      <c r="G499" s="38">
        <f t="shared" si="309"/>
        <v>877646786.7158738</v>
      </c>
      <c r="H499" s="18">
        <f t="shared" si="316"/>
        <v>0.001719613735213163</v>
      </c>
      <c r="I499" s="50">
        <f t="shared" si="336"/>
        <v>0.02302015925604168</v>
      </c>
      <c r="J499" s="3">
        <f t="shared" si="317"/>
        <v>5.45857820434837</v>
      </c>
      <c r="K499" s="12">
        <f t="shared" si="334"/>
        <v>0.7624703320130702</v>
      </c>
      <c r="L499" s="3">
        <f t="shared" si="318"/>
        <v>1204.7636212688128</v>
      </c>
      <c r="M499" s="12">
        <f t="shared" si="335"/>
        <v>0.7145472987000125</v>
      </c>
      <c r="N499" s="37">
        <f t="shared" si="319"/>
        <v>93927.39051093085</v>
      </c>
      <c r="O499" s="1">
        <f t="shared" si="310"/>
        <v>359297.64492087415</v>
      </c>
      <c r="P499">
        <f t="shared" si="320"/>
        <v>599.4144183458337</v>
      </c>
      <c r="Q499" s="1">
        <f t="shared" si="321"/>
        <v>56301.4321498516</v>
      </c>
      <c r="R499" s="1">
        <f>+Q499*1000/'Material Properties'!AE$35</f>
        <v>48283343.22636038</v>
      </c>
      <c r="S499" s="1">
        <f t="shared" si="322"/>
        <v>727.1587835295238</v>
      </c>
      <c r="T499" s="1">
        <f t="shared" si="323"/>
        <v>286.1671029627123</v>
      </c>
      <c r="U499">
        <f t="shared" si="311"/>
        <v>2.9881166847300506E-05</v>
      </c>
      <c r="V499">
        <f>+'Material Properties'!AE$31+'Material Properties'!AE$33</f>
        <v>0.00029034311030761144</v>
      </c>
      <c r="W499">
        <f t="shared" si="326"/>
        <v>0.00032022427715491195</v>
      </c>
      <c r="X499" s="1">
        <f>+'Volcano Summary'!E$12*10^9/Q499/3600/24/365</f>
        <v>0</v>
      </c>
      <c r="Y499" s="3">
        <f t="shared" si="327"/>
        <v>800</v>
      </c>
      <c r="Z499" s="1">
        <f>+Y499*'Volcano Summary'!B$19*'Volcano Summary'!B$20/1000</f>
        <v>32400000</v>
      </c>
      <c r="AA499" s="1">
        <f t="shared" si="312"/>
        <v>575473.8159015978</v>
      </c>
      <c r="AB499" s="3">
        <f t="shared" si="338"/>
        <v>159.85383775044386</v>
      </c>
      <c r="AC499" s="1">
        <f t="shared" si="328"/>
        <v>91085420.28060964</v>
      </c>
      <c r="AD499" s="36">
        <f t="shared" si="329"/>
        <v>25301.505633502664</v>
      </c>
      <c r="AE499" s="36">
        <f t="shared" si="337"/>
        <v>1054.2294013959443</v>
      </c>
      <c r="AG499" s="1">
        <f t="shared" si="313"/>
        <v>32400000000.000004</v>
      </c>
      <c r="AH499" s="1">
        <f t="shared" si="330"/>
        <v>32400000</v>
      </c>
      <c r="AI499" s="1">
        <f t="shared" si="331"/>
        <v>32432400000.000004</v>
      </c>
      <c r="AJ499" s="1">
        <f t="shared" si="332"/>
        <v>2170800000000</v>
      </c>
      <c r="AK499" s="1">
        <f t="shared" si="333"/>
        <v>2172970800000</v>
      </c>
      <c r="AL499" s="39">
        <f>+AJ499/('Volcano Summary'!C$8)*10^6</f>
        <v>150703.18361752972</v>
      </c>
      <c r="AM499" s="1">
        <f t="shared" si="314"/>
        <v>1054.2294013959443</v>
      </c>
    </row>
    <row r="500" spans="1:39" ht="12.75">
      <c r="A500" s="1">
        <f t="shared" si="324"/>
        <v>575473.8159015978</v>
      </c>
      <c r="B500" s="1">
        <f t="shared" si="325"/>
        <v>1060.799961170314</v>
      </c>
      <c r="C500" s="1">
        <f t="shared" si="306"/>
        <v>67200</v>
      </c>
      <c r="D500" s="1">
        <f t="shared" si="315"/>
        <v>292.5093116572581</v>
      </c>
      <c r="E500" s="38">
        <f t="shared" si="307"/>
        <v>3088248103.4660797</v>
      </c>
      <c r="F500" s="38">
        <f t="shared" si="308"/>
        <v>1985583044.7240202</v>
      </c>
      <c r="G500" s="38">
        <f t="shared" si="309"/>
        <v>882917985.9819609</v>
      </c>
      <c r="H500" s="18">
        <f t="shared" si="316"/>
        <v>0.0017093472927995708</v>
      </c>
      <c r="I500" s="50">
        <f t="shared" si="336"/>
        <v>0.022998524820803345</v>
      </c>
      <c r="J500" s="3">
        <f t="shared" si="317"/>
        <v>5.431246614082394</v>
      </c>
      <c r="K500" s="12">
        <f t="shared" si="334"/>
        <v>0.7611310840900374</v>
      </c>
      <c r="L500" s="3">
        <f t="shared" si="318"/>
        <v>1202.647503290465</v>
      </c>
      <c r="M500" s="12">
        <f t="shared" si="335"/>
        <v>0.7139186721238951</v>
      </c>
      <c r="N500" s="37">
        <f t="shared" si="319"/>
        <v>95059.04581829147</v>
      </c>
      <c r="O500" s="1">
        <f t="shared" si="310"/>
        <v>360471.4662539558</v>
      </c>
      <c r="P500">
        <f t="shared" si="320"/>
        <v>600.3927599946187</v>
      </c>
      <c r="Q500" s="1">
        <f t="shared" si="321"/>
        <v>57072.762881298935</v>
      </c>
      <c r="R500" s="1">
        <f>+Q500*1000/'Material Properties'!AE$35</f>
        <v>48944825.9813352</v>
      </c>
      <c r="S500" s="1">
        <f t="shared" si="322"/>
        <v>728.34562472225</v>
      </c>
      <c r="T500" s="1">
        <f t="shared" si="323"/>
        <v>287.27510533281657</v>
      </c>
      <c r="U500">
        <f t="shared" si="311"/>
        <v>2.9766276965851335E-05</v>
      </c>
      <c r="V500">
        <f>+'Material Properties'!AE$31+'Material Properties'!AE$33</f>
        <v>0.00029034311030761144</v>
      </c>
      <c r="W500">
        <f t="shared" si="326"/>
        <v>0.00032010938727346276</v>
      </c>
      <c r="X500" s="1">
        <f>+'Volcano Summary'!E$12*10^9/Q500/3600/24/365</f>
        <v>0</v>
      </c>
      <c r="Y500" s="3">
        <f t="shared" si="327"/>
        <v>800</v>
      </c>
      <c r="Z500" s="1">
        <f>+Y500*'Volcano Summary'!B$19*'Volcano Summary'!B$20/1000</f>
        <v>32400000</v>
      </c>
      <c r="AA500" s="1">
        <f t="shared" si="312"/>
        <v>567696.3645055377</v>
      </c>
      <c r="AB500" s="3">
        <f t="shared" si="338"/>
        <v>157.69343458487157</v>
      </c>
      <c r="AC500" s="1">
        <f t="shared" si="328"/>
        <v>91653116.64511518</v>
      </c>
      <c r="AD500" s="36">
        <f t="shared" si="329"/>
        <v>25459.199068087535</v>
      </c>
      <c r="AE500" s="36">
        <f t="shared" si="337"/>
        <v>1060.799961170314</v>
      </c>
      <c r="AG500" s="1">
        <f t="shared" si="313"/>
        <v>32400000000</v>
      </c>
      <c r="AH500" s="1">
        <f t="shared" si="330"/>
        <v>32400000</v>
      </c>
      <c r="AI500" s="1">
        <f t="shared" si="331"/>
        <v>32432400000</v>
      </c>
      <c r="AJ500" s="1">
        <f t="shared" si="332"/>
        <v>2203200000000</v>
      </c>
      <c r="AK500" s="1">
        <f t="shared" si="333"/>
        <v>2205403200000</v>
      </c>
      <c r="AL500" s="39">
        <f>+AJ500/('Volcano Summary'!C$8)*10^6</f>
        <v>152952.48486555254</v>
      </c>
      <c r="AM500" s="1">
        <f t="shared" si="314"/>
        <v>1060.799961170314</v>
      </c>
    </row>
    <row r="501" spans="1:39" ht="12.75">
      <c r="A501" s="1">
        <f t="shared" si="324"/>
        <v>567696.3645055377</v>
      </c>
      <c r="B501" s="1">
        <f t="shared" si="325"/>
        <v>1067.2827675608953</v>
      </c>
      <c r="C501" s="1">
        <f t="shared" si="306"/>
        <v>68000</v>
      </c>
      <c r="D501" s="1">
        <f t="shared" si="315"/>
        <v>294.2452872043851</v>
      </c>
      <c r="E501" s="38">
        <f t="shared" si="307"/>
        <v>3106576146.2921495</v>
      </c>
      <c r="F501" s="38">
        <f t="shared" si="308"/>
        <v>1997367023.8148115</v>
      </c>
      <c r="G501" s="38">
        <f t="shared" si="309"/>
        <v>888157901.3374736</v>
      </c>
      <c r="H501" s="18">
        <f t="shared" si="316"/>
        <v>0.0016992625599902848</v>
      </c>
      <c r="I501" s="50">
        <f t="shared" si="336"/>
        <v>0.022977186328567475</v>
      </c>
      <c r="J501" s="3">
        <f t="shared" si="317"/>
        <v>5.404427246205534</v>
      </c>
      <c r="K501" s="12">
        <f t="shared" si="334"/>
        <v>0.7598169350640713</v>
      </c>
      <c r="L501" s="3">
        <f t="shared" si="318"/>
        <v>1200.5710435609044</v>
      </c>
      <c r="M501" s="12">
        <f t="shared" si="335"/>
        <v>0.7133018266627273</v>
      </c>
      <c r="N501" s="37">
        <f t="shared" si="319"/>
        <v>96190.7011256521</v>
      </c>
      <c r="O501" s="1">
        <f t="shared" si="310"/>
        <v>361634.82992057287</v>
      </c>
      <c r="P501">
        <f t="shared" si="320"/>
        <v>601.3608150857294</v>
      </c>
      <c r="Q501" s="1">
        <f t="shared" si="321"/>
        <v>57845.318432589935</v>
      </c>
      <c r="R501" s="1">
        <f>+Q501*1000/'Material Properties'!AE$35</f>
        <v>49607359.125165924</v>
      </c>
      <c r="S501" s="1">
        <f t="shared" si="322"/>
        <v>729.519987134793</v>
      </c>
      <c r="T501" s="1">
        <f t="shared" si="323"/>
        <v>288.35683291578437</v>
      </c>
      <c r="U501">
        <f t="shared" si="311"/>
        <v>2.9654960657394085E-05</v>
      </c>
      <c r="V501">
        <f>+'Material Properties'!AE$31+'Material Properties'!AE$33</f>
        <v>0.00029034311030761144</v>
      </c>
      <c r="W501">
        <f t="shared" si="326"/>
        <v>0.0003199980709650055</v>
      </c>
      <c r="X501" s="1">
        <f>+'Volcano Summary'!E$12*10^9/Q501/3600/24/365</f>
        <v>0</v>
      </c>
      <c r="Y501" s="3">
        <f t="shared" si="327"/>
        <v>800</v>
      </c>
      <c r="Z501" s="1">
        <f>+Y501*'Volcano Summary'!B$19*'Volcano Summary'!B$20/1000</f>
        <v>32400000</v>
      </c>
      <c r="AA501" s="1">
        <f t="shared" si="312"/>
        <v>560114.472146218</v>
      </c>
      <c r="AB501" s="3">
        <f t="shared" si="338"/>
        <v>155.58735337394944</v>
      </c>
      <c r="AC501" s="1">
        <f t="shared" si="328"/>
        <v>92213231.1172614</v>
      </c>
      <c r="AD501" s="36">
        <f t="shared" si="329"/>
        <v>25614.786421461486</v>
      </c>
      <c r="AE501" s="36">
        <f t="shared" si="337"/>
        <v>1067.2827675608953</v>
      </c>
      <c r="AG501" s="1">
        <f t="shared" si="313"/>
        <v>32400000000.000004</v>
      </c>
      <c r="AH501" s="1">
        <f t="shared" si="330"/>
        <v>32400000</v>
      </c>
      <c r="AI501" s="1">
        <f t="shared" si="331"/>
        <v>32432400000.000004</v>
      </c>
      <c r="AJ501" s="1">
        <f t="shared" si="332"/>
        <v>2235600000000</v>
      </c>
      <c r="AK501" s="1">
        <f t="shared" si="333"/>
        <v>2237835600000</v>
      </c>
      <c r="AL501" s="39">
        <f>+AJ501/('Volcano Summary'!C$8)*10^6</f>
        <v>155201.7861135754</v>
      </c>
      <c r="AM501" s="1">
        <f t="shared" si="314"/>
        <v>1067.2827675608953</v>
      </c>
    </row>
    <row r="502" spans="1:39" ht="12.75">
      <c r="A502" s="1">
        <f t="shared" si="324"/>
        <v>560114.472146218</v>
      </c>
      <c r="B502" s="1">
        <f t="shared" si="325"/>
        <v>1073.6800015767656</v>
      </c>
      <c r="C502" s="1">
        <f t="shared" si="306"/>
        <v>68800</v>
      </c>
      <c r="D502" s="1">
        <f t="shared" si="315"/>
        <v>295.9710808132767</v>
      </c>
      <c r="E502" s="38">
        <f t="shared" si="307"/>
        <v>3124796690.484187</v>
      </c>
      <c r="F502" s="38">
        <f t="shared" si="308"/>
        <v>2009081886.8702605</v>
      </c>
      <c r="G502" s="38">
        <f t="shared" si="309"/>
        <v>893367083.2563335</v>
      </c>
      <c r="H502" s="18">
        <f t="shared" si="316"/>
        <v>0.0016893542390225677</v>
      </c>
      <c r="I502" s="50">
        <f t="shared" si="336"/>
        <v>0.02295613628399994</v>
      </c>
      <c r="J502" s="3">
        <f t="shared" si="317"/>
        <v>5.378104614295507</v>
      </c>
      <c r="K502" s="12">
        <f t="shared" si="334"/>
        <v>0.75852712610048</v>
      </c>
      <c r="L502" s="3">
        <f t="shared" si="318"/>
        <v>1198.5330430611098</v>
      </c>
      <c r="M502" s="12">
        <f t="shared" si="335"/>
        <v>0.7126964061287967</v>
      </c>
      <c r="N502" s="37">
        <f t="shared" si="319"/>
        <v>97322.3564330127</v>
      </c>
      <c r="O502" s="1">
        <f t="shared" si="310"/>
        <v>362787.92879067216</v>
      </c>
      <c r="P502">
        <f t="shared" si="320"/>
        <v>602.3187933234959</v>
      </c>
      <c r="Q502" s="1">
        <f t="shared" si="321"/>
        <v>58619.08429013137</v>
      </c>
      <c r="R502" s="1">
        <f>+Q502*1000/'Material Properties'!AE$35</f>
        <v>50270930.21119221</v>
      </c>
      <c r="S502" s="1">
        <f t="shared" si="322"/>
        <v>730.6821251626775</v>
      </c>
      <c r="T502" s="1">
        <f t="shared" si="323"/>
        <v>289.4132183715034</v>
      </c>
      <c r="U502">
        <f t="shared" si="311"/>
        <v>2.9547052828380586E-05</v>
      </c>
      <c r="V502">
        <f>+'Material Properties'!AE$31+'Material Properties'!AE$33</f>
        <v>0.00029034311030761144</v>
      </c>
      <c r="W502">
        <f t="shared" si="326"/>
        <v>0.00031989016313599205</v>
      </c>
      <c r="X502" s="1">
        <f>+'Volcano Summary'!E$12*10^9/Q502/3600/24/365</f>
        <v>0</v>
      </c>
      <c r="Y502" s="3">
        <f t="shared" si="327"/>
        <v>800</v>
      </c>
      <c r="Z502" s="1">
        <f>+Y502*'Volcano Summary'!B$19*'Volcano Summary'!B$20/1000</f>
        <v>32400000</v>
      </c>
      <c r="AA502" s="1">
        <f t="shared" si="312"/>
        <v>552721.0189711987</v>
      </c>
      <c r="AB502" s="3">
        <f t="shared" si="338"/>
        <v>153.53361638088853</v>
      </c>
      <c r="AC502" s="1">
        <f t="shared" si="328"/>
        <v>92765952.1362326</v>
      </c>
      <c r="AD502" s="36">
        <f t="shared" si="329"/>
        <v>25768.320037842375</v>
      </c>
      <c r="AE502" s="36">
        <f t="shared" si="337"/>
        <v>1073.6800015767656</v>
      </c>
      <c r="AG502" s="1">
        <f t="shared" si="313"/>
        <v>32400000000</v>
      </c>
      <c r="AH502" s="1">
        <f t="shared" si="330"/>
        <v>32400000</v>
      </c>
      <c r="AI502" s="1">
        <f t="shared" si="331"/>
        <v>32432400000</v>
      </c>
      <c r="AJ502" s="1">
        <f t="shared" si="332"/>
        <v>2268000000000</v>
      </c>
      <c r="AK502" s="1">
        <f t="shared" si="333"/>
        <v>2270268000000</v>
      </c>
      <c r="AL502" s="39">
        <f>+AJ502/('Volcano Summary'!C$8)*10^6</f>
        <v>157451.0873615982</v>
      </c>
      <c r="AM502" s="1">
        <f t="shared" si="314"/>
        <v>1073.6800015767656</v>
      </c>
    </row>
    <row r="503" spans="1:39" ht="12.75">
      <c r="A503" s="1">
        <f t="shared" si="324"/>
        <v>552721.0189711987</v>
      </c>
      <c r="B503" s="1">
        <f t="shared" si="325"/>
        <v>1079.9937657274959</v>
      </c>
      <c r="C503" s="1">
        <f t="shared" si="306"/>
        <v>69600</v>
      </c>
      <c r="D503" s="1">
        <f t="shared" si="315"/>
        <v>297.6868695686246</v>
      </c>
      <c r="E503" s="38">
        <f t="shared" si="307"/>
        <v>3142911605.662888</v>
      </c>
      <c r="F503" s="38">
        <f t="shared" si="308"/>
        <v>2020728835.9593158</v>
      </c>
      <c r="G503" s="38">
        <f t="shared" si="309"/>
        <v>898546066.2557441</v>
      </c>
      <c r="H503" s="18">
        <f t="shared" si="316"/>
        <v>0.0016796172458817063</v>
      </c>
      <c r="I503" s="50">
        <f t="shared" si="336"/>
        <v>0.022935367466516605</v>
      </c>
      <c r="J503" s="3">
        <f t="shared" si="317"/>
        <v>5.352263873739551</v>
      </c>
      <c r="K503" s="12">
        <f t="shared" si="334"/>
        <v>0.7572609298132381</v>
      </c>
      <c r="L503" s="3">
        <f t="shared" si="318"/>
        <v>1196.532352463448</v>
      </c>
      <c r="M503" s="12">
        <f t="shared" si="335"/>
        <v>0.7121020690960097</v>
      </c>
      <c r="N503" s="37">
        <f t="shared" si="319"/>
        <v>98454.01174037329</v>
      </c>
      <c r="O503" s="1">
        <f t="shared" si="310"/>
        <v>363930.95015989087</v>
      </c>
      <c r="P503">
        <f t="shared" si="320"/>
        <v>603.2668979480732</v>
      </c>
      <c r="Q503" s="1">
        <f t="shared" si="321"/>
        <v>59394.046253158165</v>
      </c>
      <c r="R503" s="1">
        <f>+Q503*1000/'Material Properties'!AE$35</f>
        <v>50935527.06103087</v>
      </c>
      <c r="S503" s="1">
        <f t="shared" si="322"/>
        <v>731.832285359639</v>
      </c>
      <c r="T503" s="1">
        <f t="shared" si="323"/>
        <v>290.4451506853562</v>
      </c>
      <c r="U503">
        <f t="shared" si="311"/>
        <v>2.9442398405538822E-05</v>
      </c>
      <c r="V503">
        <f>+'Material Properties'!AE$31+'Material Properties'!AE$33</f>
        <v>0.00029034311030761144</v>
      </c>
      <c r="W503">
        <f t="shared" si="326"/>
        <v>0.0003197855087131503</v>
      </c>
      <c r="X503" s="1">
        <f>+'Volcano Summary'!E$12*10^9/Q503/3600/24/365</f>
        <v>0</v>
      </c>
      <c r="Y503" s="3">
        <f t="shared" si="327"/>
        <v>800</v>
      </c>
      <c r="Z503" s="1">
        <f>+Y503*'Volcano Summary'!B$19*'Volcano Summary'!B$20/1000</f>
        <v>32400000</v>
      </c>
      <c r="AA503" s="1">
        <f t="shared" si="312"/>
        <v>545509.2226230872</v>
      </c>
      <c r="AB503" s="3">
        <f t="shared" si="338"/>
        <v>151.53033961752422</v>
      </c>
      <c r="AC503" s="1">
        <f t="shared" si="328"/>
        <v>93311461.35885568</v>
      </c>
      <c r="AD503" s="36">
        <f t="shared" si="329"/>
        <v>25919.8503774599</v>
      </c>
      <c r="AE503" s="36">
        <f t="shared" si="337"/>
        <v>1079.9937657274959</v>
      </c>
      <c r="AG503" s="1">
        <f t="shared" si="313"/>
        <v>32399999999.999996</v>
      </c>
      <c r="AH503" s="1">
        <f t="shared" si="330"/>
        <v>32400000</v>
      </c>
      <c r="AI503" s="1">
        <f t="shared" si="331"/>
        <v>32432399999.999996</v>
      </c>
      <c r="AJ503" s="1">
        <f t="shared" si="332"/>
        <v>2300400000000</v>
      </c>
      <c r="AK503" s="1">
        <f t="shared" si="333"/>
        <v>2302700400000</v>
      </c>
      <c r="AL503" s="39">
        <f>+AJ503/('Volcano Summary'!C$8)*10^6</f>
        <v>159700.38860962103</v>
      </c>
      <c r="AM503" s="1">
        <f t="shared" si="314"/>
        <v>1079.9937657274959</v>
      </c>
    </row>
    <row r="504" spans="1:39" ht="12.75">
      <c r="A504" s="1">
        <f t="shared" si="324"/>
        <v>545509.2226230872</v>
      </c>
      <c r="B504" s="1">
        <f t="shared" si="325"/>
        <v>1086.2260877021947</v>
      </c>
      <c r="C504" s="1">
        <f t="shared" si="306"/>
        <v>70400</v>
      </c>
      <c r="D504" s="1">
        <f t="shared" si="315"/>
        <v>299.39282548076443</v>
      </c>
      <c r="E504" s="38">
        <f t="shared" si="307"/>
        <v>3160922707.8750315</v>
      </c>
      <c r="F504" s="38">
        <f t="shared" si="308"/>
        <v>2032309038.7056837</v>
      </c>
      <c r="G504" s="38">
        <f t="shared" si="309"/>
        <v>903695369.5363363</v>
      </c>
      <c r="H504" s="18">
        <f t="shared" si="316"/>
        <v>0.001670046699339241</v>
      </c>
      <c r="I504" s="50">
        <f t="shared" si="336"/>
        <v>0.022914872917175873</v>
      </c>
      <c r="J504" s="3">
        <f t="shared" si="317"/>
        <v>5.326890788110772</v>
      </c>
      <c r="K504" s="12">
        <f t="shared" si="334"/>
        <v>0.7560176486174279</v>
      </c>
      <c r="L504" s="3">
        <f t="shared" si="318"/>
        <v>1194.5678695284005</v>
      </c>
      <c r="M504" s="12">
        <f t="shared" si="335"/>
        <v>0.7115184881265478</v>
      </c>
      <c r="N504" s="37">
        <f t="shared" si="319"/>
        <v>99585.66704773394</v>
      </c>
      <c r="O504" s="1">
        <f t="shared" si="310"/>
        <v>365064.07597023505</v>
      </c>
      <c r="P504">
        <f t="shared" si="320"/>
        <v>604.2053260028705</v>
      </c>
      <c r="Q504" s="1">
        <f t="shared" si="321"/>
        <v>60170.1904237894</v>
      </c>
      <c r="R504" s="1">
        <f>+Q504*1000/'Material Properties'!AE$35</f>
        <v>51601137.756048076</v>
      </c>
      <c r="S504" s="1">
        <f t="shared" si="322"/>
        <v>732.9707067620466</v>
      </c>
      <c r="T504" s="1">
        <f t="shared" si="323"/>
        <v>291.45347769360876</v>
      </c>
      <c r="U504">
        <f t="shared" si="311"/>
        <v>2.934085158716593E-05</v>
      </c>
      <c r="V504">
        <f>+'Material Properties'!AE$31+'Material Properties'!AE$33</f>
        <v>0.00029034311030761144</v>
      </c>
      <c r="W504">
        <f t="shared" si="326"/>
        <v>0.0003196839618947774</v>
      </c>
      <c r="X504" s="1">
        <f>+'Volcano Summary'!E$12*10^9/Q504/3600/24/365</f>
        <v>0</v>
      </c>
      <c r="Y504" s="3">
        <f t="shared" si="327"/>
        <v>800</v>
      </c>
      <c r="Z504" s="1">
        <f>+Y504*'Volcano Summary'!B$19*'Volcano Summary'!B$20/1000</f>
        <v>32400000</v>
      </c>
      <c r="AA504" s="1">
        <f t="shared" si="312"/>
        <v>538472.618613985</v>
      </c>
      <c r="AB504" s="3">
        <f t="shared" si="338"/>
        <v>149.57572739277362</v>
      </c>
      <c r="AC504" s="1">
        <f t="shared" si="328"/>
        <v>93849933.97746967</v>
      </c>
      <c r="AD504" s="36">
        <f t="shared" si="329"/>
        <v>26069.426104852675</v>
      </c>
      <c r="AE504" s="36">
        <f t="shared" si="337"/>
        <v>1086.2260877021947</v>
      </c>
      <c r="AG504" s="1">
        <f t="shared" si="313"/>
        <v>32400000000.000004</v>
      </c>
      <c r="AH504" s="1">
        <f t="shared" si="330"/>
        <v>32400000</v>
      </c>
      <c r="AI504" s="1">
        <f t="shared" si="331"/>
        <v>32432400000.000004</v>
      </c>
      <c r="AJ504" s="1">
        <f t="shared" si="332"/>
        <v>2332800000000</v>
      </c>
      <c r="AK504" s="1">
        <f t="shared" si="333"/>
        <v>2335132800000</v>
      </c>
      <c r="AL504" s="39">
        <f>+AJ504/('Volcano Summary'!C$8)*10^6</f>
        <v>161949.68985764385</v>
      </c>
      <c r="AM504" s="1">
        <f t="shared" si="314"/>
        <v>1086.2260877021947</v>
      </c>
    </row>
    <row r="505" spans="1:39" ht="12.75">
      <c r="A505" s="1">
        <f t="shared" si="324"/>
        <v>538472.618613985</v>
      </c>
      <c r="B505" s="1">
        <f t="shared" si="325"/>
        <v>1092.378923837004</v>
      </c>
      <c r="C505" s="1">
        <f t="shared" si="306"/>
        <v>71200</v>
      </c>
      <c r="D505" s="1">
        <f t="shared" si="315"/>
        <v>301.0891156869401</v>
      </c>
      <c r="E505" s="38">
        <f t="shared" si="307"/>
        <v>3178831761.7183776</v>
      </c>
      <c r="F505" s="38">
        <f t="shared" si="308"/>
        <v>2043823629.6540234</v>
      </c>
      <c r="G505" s="38">
        <f t="shared" si="309"/>
        <v>908815497.5896697</v>
      </c>
      <c r="H505" s="18">
        <f t="shared" si="316"/>
        <v>0.0016606379106705376</v>
      </c>
      <c r="I505" s="50">
        <f t="shared" si="336"/>
        <v>0.022894645926337998</v>
      </c>
      <c r="J505" s="3">
        <f t="shared" si="317"/>
        <v>5.301971697665567</v>
      </c>
      <c r="K505" s="12">
        <f t="shared" si="334"/>
        <v>0.7547966131856129</v>
      </c>
      <c r="L505" s="3">
        <f t="shared" si="318"/>
        <v>1192.6385366655109</v>
      </c>
      <c r="M505" s="12">
        <f t="shared" si="335"/>
        <v>0.7109453490463081</v>
      </c>
      <c r="N505" s="37">
        <f t="shared" si="319"/>
        <v>100717.32235509453</v>
      </c>
      <c r="O505" s="1">
        <f t="shared" si="310"/>
        <v>366187.48301967146</v>
      </c>
      <c r="P505">
        <f t="shared" si="320"/>
        <v>605.1342685881139</v>
      </c>
      <c r="Q505" s="1">
        <f t="shared" si="321"/>
        <v>60947.503197503414</v>
      </c>
      <c r="R505" s="1">
        <f>+Q505*1000/'Material Properties'!AE$35</f>
        <v>52267750.6291909</v>
      </c>
      <c r="S505" s="1">
        <f t="shared" si="322"/>
        <v>734.0976211965014</v>
      </c>
      <c r="T505" s="1">
        <f t="shared" si="323"/>
        <v>292.43900843573795</v>
      </c>
      <c r="U505">
        <f t="shared" si="311"/>
        <v>2.9242275160547456E-05</v>
      </c>
      <c r="V505">
        <f>+'Material Properties'!AE$31+'Material Properties'!AE$33</f>
        <v>0.00029034311030761144</v>
      </c>
      <c r="W505">
        <f t="shared" si="326"/>
        <v>0.0003195853854681589</v>
      </c>
      <c r="X505" s="1">
        <f>+'Volcano Summary'!E$12*10^9/Q505/3600/24/365</f>
        <v>0</v>
      </c>
      <c r="Y505" s="3">
        <f t="shared" si="327"/>
        <v>800</v>
      </c>
      <c r="Z505" s="1">
        <f>+Y505*'Volcano Summary'!B$19*'Volcano Summary'!B$20/1000</f>
        <v>32400000</v>
      </c>
      <c r="AA505" s="1">
        <f t="shared" si="312"/>
        <v>531605.0420475174</v>
      </c>
      <c r="AB505" s="3">
        <f t="shared" si="338"/>
        <v>147.6680672354215</v>
      </c>
      <c r="AC505" s="1">
        <f t="shared" si="328"/>
        <v>94381539.01951718</v>
      </c>
      <c r="AD505" s="36">
        <f t="shared" si="329"/>
        <v>26217.0941720881</v>
      </c>
      <c r="AE505" s="36">
        <f t="shared" si="337"/>
        <v>1092.378923837004</v>
      </c>
      <c r="AG505" s="1">
        <f t="shared" si="313"/>
        <v>32400000000.000004</v>
      </c>
      <c r="AH505" s="1">
        <f t="shared" si="330"/>
        <v>32400000</v>
      </c>
      <c r="AI505" s="1">
        <f t="shared" si="331"/>
        <v>32432400000.000004</v>
      </c>
      <c r="AJ505" s="1">
        <f t="shared" si="332"/>
        <v>2365200000000</v>
      </c>
      <c r="AK505" s="1">
        <f t="shared" si="333"/>
        <v>2367565200000</v>
      </c>
      <c r="AL505" s="39">
        <f>+AJ505/('Volcano Summary'!C$8)*10^6</f>
        <v>164198.99110566668</v>
      </c>
      <c r="AM505" s="1">
        <f t="shared" si="314"/>
        <v>1092.378923837004</v>
      </c>
    </row>
    <row r="506" spans="1:39" ht="12.75">
      <c r="A506" s="1">
        <f t="shared" si="324"/>
        <v>531605.0420475174</v>
      </c>
      <c r="B506" s="1">
        <f t="shared" si="325"/>
        <v>1098.4541623854075</v>
      </c>
      <c r="C506" s="1">
        <f t="shared" si="306"/>
        <v>72000</v>
      </c>
      <c r="D506" s="1">
        <f t="shared" si="315"/>
        <v>302.7759026424192</v>
      </c>
      <c r="E506" s="38">
        <f t="shared" si="307"/>
        <v>3196640482.3594275</v>
      </c>
      <c r="F506" s="38">
        <f t="shared" si="308"/>
        <v>2055273711.5672636</v>
      </c>
      <c r="G506" s="38">
        <f t="shared" si="309"/>
        <v>913906940.7751</v>
      </c>
      <c r="H506" s="18">
        <f t="shared" si="316"/>
        <v>0.0016513863740025044</v>
      </c>
      <c r="I506" s="50">
        <f t="shared" si="336"/>
        <v>0.02287468002203815</v>
      </c>
      <c r="J506" s="3">
        <f t="shared" si="317"/>
        <v>5.277493489806111</v>
      </c>
      <c r="K506" s="12">
        <f t="shared" si="334"/>
        <v>0.7535971810004995</v>
      </c>
      <c r="L506" s="3">
        <f t="shared" si="318"/>
        <v>1190.7433386464768</v>
      </c>
      <c r="M506" s="12">
        <f t="shared" si="335"/>
        <v>0.7103823502655406</v>
      </c>
      <c r="N506" s="37">
        <f t="shared" si="319"/>
        <v>101848.97766245515</v>
      </c>
      <c r="O506" s="1">
        <f t="shared" si="310"/>
        <v>367301.3431613084</v>
      </c>
      <c r="P506">
        <f t="shared" si="320"/>
        <v>606.0539111014039</v>
      </c>
      <c r="Q506" s="1">
        <f t="shared" si="321"/>
        <v>61725.97125401045</v>
      </c>
      <c r="R506" s="1">
        <f>+Q506*1000/'Material Properties'!AE$35</f>
        <v>52935354.25715982</v>
      </c>
      <c r="S506" s="1">
        <f t="shared" si="322"/>
        <v>735.2132535716642</v>
      </c>
      <c r="T506" s="1">
        <f t="shared" si="323"/>
        <v>293.40251534736865</v>
      </c>
      <c r="U506">
        <f t="shared" si="311"/>
        <v>2.914653987878903E-05</v>
      </c>
      <c r="V506">
        <f>+'Material Properties'!AE$31+'Material Properties'!AE$33</f>
        <v>0.00029034311030761144</v>
      </c>
      <c r="W506">
        <f t="shared" si="326"/>
        <v>0.0003194896501864005</v>
      </c>
      <c r="X506" s="1">
        <f>+'Volcano Summary'!E$12*10^9/Q506/3600/24/365</f>
        <v>0</v>
      </c>
      <c r="Y506" s="3">
        <f t="shared" si="327"/>
        <v>800</v>
      </c>
      <c r="Z506" s="1">
        <f>+Y506*'Volcano Summary'!B$19*'Volcano Summary'!B$20/1000</f>
        <v>32400000</v>
      </c>
      <c r="AA506" s="1">
        <f t="shared" si="312"/>
        <v>524900.6105820475</v>
      </c>
      <c r="AB506" s="3">
        <f t="shared" si="338"/>
        <v>145.80572516167985</v>
      </c>
      <c r="AC506" s="1">
        <f t="shared" si="328"/>
        <v>94906439.63009924</v>
      </c>
      <c r="AD506" s="36">
        <f t="shared" si="329"/>
        <v>26362.89989724978</v>
      </c>
      <c r="AE506" s="36">
        <f t="shared" si="337"/>
        <v>1098.4541623854075</v>
      </c>
      <c r="AG506" s="1">
        <f t="shared" si="313"/>
        <v>32399999999.999996</v>
      </c>
      <c r="AH506" s="1">
        <f t="shared" si="330"/>
        <v>32400000</v>
      </c>
      <c r="AI506" s="1">
        <f t="shared" si="331"/>
        <v>32432399999.999996</v>
      </c>
      <c r="AJ506" s="1">
        <f t="shared" si="332"/>
        <v>2397600000000</v>
      </c>
      <c r="AK506" s="1">
        <f t="shared" si="333"/>
        <v>2399997600000</v>
      </c>
      <c r="AL506" s="39">
        <f>+AJ506/('Volcano Summary'!C$8)*10^6</f>
        <v>166448.29235368953</v>
      </c>
      <c r="AM506" s="1">
        <f t="shared" si="314"/>
        <v>1098.4541623854075</v>
      </c>
    </row>
    <row r="507" spans="1:39" ht="12.75">
      <c r="A507" s="1">
        <f t="shared" si="324"/>
        <v>524900.6105820475</v>
      </c>
      <c r="B507" s="1">
        <f t="shared" si="325"/>
        <v>1104.453626604599</v>
      </c>
      <c r="C507" s="1">
        <f t="shared" si="306"/>
        <v>72800</v>
      </c>
      <c r="D507" s="1">
        <f t="shared" si="315"/>
        <v>304.45334430207834</v>
      </c>
      <c r="E507" s="38">
        <f t="shared" si="307"/>
        <v>3214350537.450553</v>
      </c>
      <c r="F507" s="38">
        <f t="shared" si="308"/>
        <v>2066660356.6592174</v>
      </c>
      <c r="G507" s="38">
        <f t="shared" si="309"/>
        <v>918970175.8678818</v>
      </c>
      <c r="H507" s="18">
        <f t="shared" si="316"/>
        <v>0.0016422877572463137</v>
      </c>
      <c r="I507" s="50">
        <f t="shared" si="336"/>
        <v>0.022854968959024644</v>
      </c>
      <c r="J507" s="3">
        <f t="shared" si="317"/>
        <v>5.25344357136507</v>
      </c>
      <c r="K507" s="12">
        <f t="shared" si="334"/>
        <v>0.7524187349968885</v>
      </c>
      <c r="L507" s="3">
        <f t="shared" si="318"/>
        <v>1188.881300459323</v>
      </c>
      <c r="M507" s="12">
        <f t="shared" si="335"/>
        <v>0.7098292021413967</v>
      </c>
      <c r="N507" s="37">
        <f t="shared" si="319"/>
        <v>102980.63296981578</v>
      </c>
      <c r="O507" s="1">
        <f t="shared" si="310"/>
        <v>368405.8234927866</v>
      </c>
      <c r="P507">
        <f t="shared" si="320"/>
        <v>606.9644334660694</v>
      </c>
      <c r="Q507" s="1">
        <f t="shared" si="321"/>
        <v>62505.58154850146</v>
      </c>
      <c r="R507" s="1">
        <f>+Q507*1000/'Material Properties'!AE$35</f>
        <v>53603937.452903844</v>
      </c>
      <c r="S507" s="1">
        <f t="shared" si="322"/>
        <v>736.3178221552726</v>
      </c>
      <c r="T507" s="1">
        <f t="shared" si="323"/>
        <v>294.3447363062635</v>
      </c>
      <c r="U507">
        <f t="shared" si="311"/>
        <v>2.9053523891115088E-05</v>
      </c>
      <c r="V507">
        <f>+'Material Properties'!AE$31+'Material Properties'!AE$33</f>
        <v>0.00029034311030761144</v>
      </c>
      <c r="W507">
        <f t="shared" si="326"/>
        <v>0.0003193966341987265</v>
      </c>
      <c r="X507" s="1">
        <f>+'Volcano Summary'!E$12*10^9/Q507/3600/24/365</f>
        <v>0</v>
      </c>
      <c r="Y507" s="3">
        <f t="shared" si="327"/>
        <v>800</v>
      </c>
      <c r="Z507" s="1">
        <f>+Y507*'Volcano Summary'!B$19*'Volcano Summary'!B$20/1000</f>
        <v>32400000</v>
      </c>
      <c r="AA507" s="1">
        <f t="shared" si="312"/>
        <v>518353.7085381581</v>
      </c>
      <c r="AB507" s="3">
        <f t="shared" si="338"/>
        <v>143.98714126059946</v>
      </c>
      <c r="AC507" s="1">
        <f t="shared" si="328"/>
        <v>95424793.3386374</v>
      </c>
      <c r="AD507" s="36">
        <f t="shared" si="329"/>
        <v>26506.88703851038</v>
      </c>
      <c r="AE507" s="36">
        <f t="shared" si="337"/>
        <v>1104.453626604599</v>
      </c>
      <c r="AG507" s="1">
        <f t="shared" si="313"/>
        <v>32400000000</v>
      </c>
      <c r="AH507" s="1">
        <f t="shared" si="330"/>
        <v>32400000</v>
      </c>
      <c r="AI507" s="1">
        <f t="shared" si="331"/>
        <v>32432400000</v>
      </c>
      <c r="AJ507" s="1">
        <f t="shared" si="332"/>
        <v>2430000000000</v>
      </c>
      <c r="AK507" s="1">
        <f t="shared" si="333"/>
        <v>2432430000000</v>
      </c>
      <c r="AL507" s="39">
        <f>+AJ507/('Volcano Summary'!C$8)*10^6</f>
        <v>168697.59360171235</v>
      </c>
      <c r="AM507" s="1">
        <f t="shared" si="314"/>
        <v>1104.453626604599</v>
      </c>
    </row>
    <row r="508" spans="1:39" ht="12.75">
      <c r="A508" s="1">
        <f t="shared" si="324"/>
        <v>518353.7085381581</v>
      </c>
      <c r="B508" s="1">
        <f t="shared" si="325"/>
        <v>1110.3790776701317</v>
      </c>
      <c r="C508" s="1">
        <f t="shared" si="306"/>
        <v>73600</v>
      </c>
      <c r="D508" s="1">
        <f t="shared" si="315"/>
        <v>306.1215942930325</v>
      </c>
      <c r="E508" s="38">
        <f t="shared" si="307"/>
        <v>3231963548.952587</v>
      </c>
      <c r="F508" s="38">
        <f t="shared" si="308"/>
        <v>2077984607.7664123</v>
      </c>
      <c r="G508" s="38">
        <f t="shared" si="309"/>
        <v>924005666.5802374</v>
      </c>
      <c r="H508" s="18">
        <f t="shared" si="316"/>
        <v>0.0016333378935736854</v>
      </c>
      <c r="I508" s="50">
        <f t="shared" si="336"/>
        <v>0.02283550670841727</v>
      </c>
      <c r="J508" s="3">
        <f t="shared" si="317"/>
        <v>5.229809842581402</v>
      </c>
      <c r="K508" s="12">
        <f t="shared" si="334"/>
        <v>0.7512606822864888</v>
      </c>
      <c r="L508" s="3">
        <f t="shared" si="318"/>
        <v>1187.0514852935082</v>
      </c>
      <c r="M508" s="12">
        <f t="shared" si="335"/>
        <v>0.7092856263793723</v>
      </c>
      <c r="N508" s="37">
        <f t="shared" si="319"/>
        <v>104112.28827717637</v>
      </c>
      <c r="O508" s="1">
        <f t="shared" si="310"/>
        <v>369501.0865364673</v>
      </c>
      <c r="P508">
        <f t="shared" si="320"/>
        <v>607.8660103480596</v>
      </c>
      <c r="Q508" s="1">
        <f t="shared" si="321"/>
        <v>63286.321303254255</v>
      </c>
      <c r="R508" s="1">
        <f>+Q508*1000/'Material Properties'!AE$35</f>
        <v>54273489.25842204</v>
      </c>
      <c r="S508" s="1">
        <f t="shared" si="322"/>
        <v>737.411538837256</v>
      </c>
      <c r="T508" s="1">
        <f t="shared" si="323"/>
        <v>295.26637654271735</v>
      </c>
      <c r="U508">
        <f t="shared" si="311"/>
        <v>2.896311222135904E-05</v>
      </c>
      <c r="V508">
        <f>+'Material Properties'!AE$31+'Material Properties'!AE$33</f>
        <v>0.00029034311030761144</v>
      </c>
      <c r="W508">
        <f t="shared" si="326"/>
        <v>0.0003193062225289705</v>
      </c>
      <c r="X508" s="1">
        <f>+'Volcano Summary'!E$12*10^9/Q508/3600/24/365</f>
        <v>0</v>
      </c>
      <c r="Y508" s="3">
        <f t="shared" si="327"/>
        <v>800</v>
      </c>
      <c r="Z508" s="1">
        <f>+Y508*'Volcano Summary'!B$19*'Volcano Summary'!B$20/1000</f>
        <v>32400000</v>
      </c>
      <c r="AA508" s="1">
        <f t="shared" si="312"/>
        <v>511958.9720620079</v>
      </c>
      <c r="AB508" s="3">
        <f t="shared" si="338"/>
        <v>142.21082557277995</v>
      </c>
      <c r="AC508" s="1">
        <f t="shared" si="328"/>
        <v>95936752.3106994</v>
      </c>
      <c r="AD508" s="36">
        <f t="shared" si="329"/>
        <v>26649.09786408316</v>
      </c>
      <c r="AE508" s="36">
        <f t="shared" si="337"/>
        <v>1110.3790776701317</v>
      </c>
      <c r="AG508" s="1">
        <f t="shared" si="313"/>
        <v>32400000000</v>
      </c>
      <c r="AH508" s="1">
        <f t="shared" si="330"/>
        <v>32400000</v>
      </c>
      <c r="AI508" s="1">
        <f t="shared" si="331"/>
        <v>32432400000</v>
      </c>
      <c r="AJ508" s="1">
        <f t="shared" si="332"/>
        <v>2462400000000</v>
      </c>
      <c r="AK508" s="1">
        <f t="shared" si="333"/>
        <v>2464862400000</v>
      </c>
      <c r="AL508" s="39">
        <f>+AJ508/('Volcano Summary'!C$8)*10^6</f>
        <v>170946.8948497352</v>
      </c>
      <c r="AM508" s="1">
        <f t="shared" si="314"/>
        <v>1110.3790776701317</v>
      </c>
    </row>
    <row r="509" spans="1:39" ht="12.75">
      <c r="A509" s="1">
        <f t="shared" si="324"/>
        <v>511958.9720620079</v>
      </c>
      <c r="B509" s="1">
        <f t="shared" si="325"/>
        <v>1116.2322174301303</v>
      </c>
      <c r="C509" s="1">
        <f t="shared" si="306"/>
        <v>74400</v>
      </c>
      <c r="D509" s="1">
        <f t="shared" si="315"/>
        <v>307.7808020788433</v>
      </c>
      <c r="E509" s="38">
        <f t="shared" si="307"/>
        <v>3249481094.868494</v>
      </c>
      <c r="F509" s="38">
        <f t="shared" si="308"/>
        <v>2089247479.4627512</v>
      </c>
      <c r="G509" s="38">
        <f t="shared" si="309"/>
        <v>929013864.0570076</v>
      </c>
      <c r="H509" s="18">
        <f t="shared" si="316"/>
        <v>0.001624532773398636</v>
      </c>
      <c r="I509" s="50">
        <f t="shared" si="336"/>
        <v>0.02281628744794439</v>
      </c>
      <c r="J509" s="3">
        <f t="shared" si="317"/>
        <v>5.206580672646959</v>
      </c>
      <c r="K509" s="12">
        <f t="shared" si="334"/>
        <v>0.7501224529597011</v>
      </c>
      <c r="L509" s="3">
        <f t="shared" si="318"/>
        <v>1185.2529926466473</v>
      </c>
      <c r="M509" s="12">
        <f t="shared" si="335"/>
        <v>0.7087513554708802</v>
      </c>
      <c r="N509" s="37">
        <f t="shared" si="319"/>
        <v>105243.94358453699</v>
      </c>
      <c r="O509" s="1">
        <f t="shared" si="310"/>
        <v>370587.2904109544</v>
      </c>
      <c r="P509">
        <f t="shared" si="320"/>
        <v>608.7588113620651</v>
      </c>
      <c r="Q509" s="1">
        <f t="shared" si="321"/>
        <v>64068.17799957898</v>
      </c>
      <c r="R509" s="1">
        <f>+Q509*1000/'Material Properties'!AE$35</f>
        <v>54943998.93785609</v>
      </c>
      <c r="S509" s="1">
        <f t="shared" si="322"/>
        <v>738.4946093797862</v>
      </c>
      <c r="T509" s="1">
        <f t="shared" si="323"/>
        <v>296.1681104247176</v>
      </c>
      <c r="U509">
        <f t="shared" si="311"/>
        <v>2.8875196289955848E-05</v>
      </c>
      <c r="V509">
        <f>+'Material Properties'!AE$31+'Material Properties'!AE$33</f>
        <v>0.00029034311030761144</v>
      </c>
      <c r="W509">
        <f t="shared" si="326"/>
        <v>0.0003192183065975673</v>
      </c>
      <c r="X509" s="1">
        <f>+'Volcano Summary'!E$12*10^9/Q509/3600/24/365</f>
        <v>0</v>
      </c>
      <c r="Y509" s="3">
        <f t="shared" si="327"/>
        <v>800</v>
      </c>
      <c r="Z509" s="1">
        <f>+Y509*'Volcano Summary'!B$19*'Volcano Summary'!B$20/1000</f>
        <v>32400000</v>
      </c>
      <c r="AA509" s="1">
        <f t="shared" si="312"/>
        <v>505711.2752638746</v>
      </c>
      <c r="AB509" s="3">
        <f t="shared" si="338"/>
        <v>140.47535423996518</v>
      </c>
      <c r="AC509" s="1">
        <f t="shared" si="328"/>
        <v>96442463.58596328</v>
      </c>
      <c r="AD509" s="36">
        <f t="shared" si="329"/>
        <v>26789.573218323127</v>
      </c>
      <c r="AE509" s="36">
        <f t="shared" si="337"/>
        <v>1116.2322174301303</v>
      </c>
      <c r="AG509" s="1">
        <f t="shared" si="313"/>
        <v>32400000000</v>
      </c>
      <c r="AH509" s="1">
        <f t="shared" si="330"/>
        <v>32400000</v>
      </c>
      <c r="AI509" s="1">
        <f t="shared" si="331"/>
        <v>32432400000</v>
      </c>
      <c r="AJ509" s="1">
        <f t="shared" si="332"/>
        <v>2494800000000</v>
      </c>
      <c r="AK509" s="1">
        <f t="shared" si="333"/>
        <v>2497294800000</v>
      </c>
      <c r="AL509" s="39">
        <f>+AJ509/('Volcano Summary'!C$8)*10^6</f>
        <v>173196.19609775802</v>
      </c>
      <c r="AM509" s="1">
        <f t="shared" si="314"/>
        <v>1116.2322174301303</v>
      </c>
    </row>
    <row r="510" spans="1:39" ht="12.75">
      <c r="A510" s="1">
        <f t="shared" si="324"/>
        <v>505711.2752638746</v>
      </c>
      <c r="B510" s="1">
        <f t="shared" si="325"/>
        <v>1122.014691009507</v>
      </c>
      <c r="C510" s="1">
        <f t="shared" si="306"/>
        <v>75200</v>
      </c>
      <c r="D510" s="1">
        <f t="shared" si="315"/>
        <v>309.43111311580196</v>
      </c>
      <c r="E510" s="38">
        <f t="shared" si="307"/>
        <v>3266904710.8933697</v>
      </c>
      <c r="F510" s="38">
        <f t="shared" si="308"/>
        <v>2100449959.1203747</v>
      </c>
      <c r="G510" s="38">
        <f t="shared" si="309"/>
        <v>933995207.34738</v>
      </c>
      <c r="H510" s="18">
        <f t="shared" si="316"/>
        <v>0.0016158685368296473</v>
      </c>
      <c r="I510" s="50">
        <f t="shared" si="336"/>
        <v>0.02279730555272053</v>
      </c>
      <c r="J510" s="3">
        <f t="shared" si="317"/>
        <v>5.183744876713292</v>
      </c>
      <c r="K510" s="12">
        <f t="shared" si="334"/>
        <v>0.7490034989589515</v>
      </c>
      <c r="L510" s="3">
        <f t="shared" si="318"/>
        <v>1183.4849565442887</v>
      </c>
      <c r="M510" s="12">
        <f t="shared" si="335"/>
        <v>0.7082261321644058</v>
      </c>
      <c r="N510" s="37">
        <f t="shared" si="319"/>
        <v>106375.59889189756</v>
      </c>
      <c r="O510" s="1">
        <f t="shared" si="310"/>
        <v>371664.58899445663</v>
      </c>
      <c r="P510">
        <f t="shared" si="320"/>
        <v>609.6430012675096</v>
      </c>
      <c r="Q510" s="1">
        <f t="shared" si="321"/>
        <v>64851.13937008519</v>
      </c>
      <c r="R510" s="1">
        <f>+Q510*1000/'Material Properties'!AE$35</f>
        <v>55615455.97085863</v>
      </c>
      <c r="S510" s="1">
        <f t="shared" si="322"/>
        <v>739.567233655035</v>
      </c>
      <c r="T510" s="1">
        <f t="shared" si="323"/>
        <v>297.0505831273339</v>
      </c>
      <c r="U510">
        <f t="shared" si="311"/>
        <v>2.8789673475262505E-05</v>
      </c>
      <c r="V510">
        <f>+'Material Properties'!AE$31+'Material Properties'!AE$33</f>
        <v>0.00029034311030761144</v>
      </c>
      <c r="W510">
        <f t="shared" si="326"/>
        <v>0.00031913278378287396</v>
      </c>
      <c r="X510" s="1">
        <f>+'Volcano Summary'!E$12*10^9/Q510/3600/24/365</f>
        <v>0</v>
      </c>
      <c r="Y510" s="3">
        <f t="shared" si="327"/>
        <v>800</v>
      </c>
      <c r="Z510" s="1">
        <f>+Y510*'Volcano Summary'!B$19*'Volcano Summary'!B$20/1000</f>
        <v>32400000</v>
      </c>
      <c r="AA510" s="1">
        <f t="shared" si="312"/>
        <v>499605.71725815523</v>
      </c>
      <c r="AB510" s="3">
        <f t="shared" si="338"/>
        <v>138.7793659050431</v>
      </c>
      <c r="AC510" s="1">
        <f t="shared" si="328"/>
        <v>96942069.30322143</v>
      </c>
      <c r="AD510" s="36">
        <f t="shared" si="329"/>
        <v>26928.35258422817</v>
      </c>
      <c r="AE510" s="36">
        <f t="shared" si="337"/>
        <v>1122.014691009507</v>
      </c>
      <c r="AG510" s="1">
        <f t="shared" si="313"/>
        <v>32400000000</v>
      </c>
      <c r="AH510" s="1">
        <f t="shared" si="330"/>
        <v>32400000</v>
      </c>
      <c r="AI510" s="1">
        <f t="shared" si="331"/>
        <v>32432400000</v>
      </c>
      <c r="AJ510" s="1">
        <f t="shared" si="332"/>
        <v>2527200000000</v>
      </c>
      <c r="AK510" s="1">
        <f t="shared" si="333"/>
        <v>2529727200000</v>
      </c>
      <c r="AL510" s="39">
        <f>+AJ510/('Volcano Summary'!C$8)*10^6</f>
        <v>175445.49734578087</v>
      </c>
      <c r="AM510" s="1">
        <f t="shared" si="314"/>
        <v>1122.014691009507</v>
      </c>
    </row>
    <row r="511" spans="1:39" ht="12.75">
      <c r="A511" s="1">
        <f t="shared" si="324"/>
        <v>499605.71725815523</v>
      </c>
      <c r="B511" s="1">
        <f t="shared" si="325"/>
        <v>1127.7280892738286</v>
      </c>
      <c r="C511" s="1">
        <f t="shared" si="306"/>
        <v>76000</v>
      </c>
      <c r="D511" s="1">
        <f t="shared" si="315"/>
        <v>311.0726690017501</v>
      </c>
      <c r="E511" s="38">
        <f t="shared" si="307"/>
        <v>3284235891.98566</v>
      </c>
      <c r="F511" s="38">
        <f t="shared" si="308"/>
        <v>2111593007.9198768</v>
      </c>
      <c r="G511" s="38">
        <f t="shared" si="309"/>
        <v>938950123.8540944</v>
      </c>
      <c r="H511" s="18">
        <f t="shared" si="316"/>
        <v>0.0016073414665599792</v>
      </c>
      <c r="I511" s="50">
        <f t="shared" si="336"/>
        <v>0.02277855558652912</v>
      </c>
      <c r="J511" s="3">
        <f t="shared" si="317"/>
        <v>5.161291694256972</v>
      </c>
      <c r="K511" s="12">
        <f t="shared" si="334"/>
        <v>0.7479032930185917</v>
      </c>
      <c r="L511" s="3">
        <f t="shared" si="318"/>
        <v>1181.7465438648737</v>
      </c>
      <c r="M511" s="12">
        <f t="shared" si="335"/>
        <v>0.7077097089679104</v>
      </c>
      <c r="N511" s="37">
        <f t="shared" si="319"/>
        <v>107507.25419925823</v>
      </c>
      <c r="O511" s="1">
        <f t="shared" si="310"/>
        <v>372733.1320804587</v>
      </c>
      <c r="P511">
        <f t="shared" si="320"/>
        <v>610.5187401550085</v>
      </c>
      <c r="Q511" s="1">
        <f t="shared" si="321"/>
        <v>65635.19339125538</v>
      </c>
      <c r="R511" s="1">
        <f>+Q511*1000/'Material Properties'!AE$35</f>
        <v>56287850.0462244</v>
      </c>
      <c r="S511" s="1">
        <f t="shared" si="322"/>
        <v>740.6296058713737</v>
      </c>
      <c r="T511" s="1">
        <f t="shared" si="323"/>
        <v>297.91441219499507</v>
      </c>
      <c r="U511">
        <f t="shared" si="311"/>
        <v>2.8706446710483243E-05</v>
      </c>
      <c r="V511">
        <f>+'Material Properties'!AE$31+'Material Properties'!AE$33</f>
        <v>0.00029034311030761144</v>
      </c>
      <c r="W511">
        <f t="shared" si="326"/>
        <v>0.0003190495570180947</v>
      </c>
      <c r="X511" s="1">
        <f>+'Volcano Summary'!E$12*10^9/Q511/3600/24/365</f>
        <v>0</v>
      </c>
      <c r="Y511" s="3">
        <f t="shared" si="327"/>
        <v>800</v>
      </c>
      <c r="Z511" s="1">
        <f>+Y511*'Volcano Summary'!B$19*'Volcano Summary'!B$20/1000</f>
        <v>32400000</v>
      </c>
      <c r="AA511" s="1">
        <f t="shared" si="312"/>
        <v>493637.6100373717</v>
      </c>
      <c r="AB511" s="3">
        <f t="shared" si="338"/>
        <v>137.12155834371436</v>
      </c>
      <c r="AC511" s="1">
        <f t="shared" si="328"/>
        <v>97435706.9132588</v>
      </c>
      <c r="AD511" s="36">
        <f t="shared" si="329"/>
        <v>27065.474142571886</v>
      </c>
      <c r="AE511" s="36">
        <f t="shared" si="337"/>
        <v>1127.7280892738286</v>
      </c>
      <c r="AG511" s="1">
        <f t="shared" si="313"/>
        <v>32400000000</v>
      </c>
      <c r="AH511" s="1">
        <f t="shared" si="330"/>
        <v>32400000</v>
      </c>
      <c r="AI511" s="1">
        <f t="shared" si="331"/>
        <v>32432400000</v>
      </c>
      <c r="AJ511" s="1">
        <f t="shared" si="332"/>
        <v>2559600000000</v>
      </c>
      <c r="AK511" s="1">
        <f t="shared" si="333"/>
        <v>2562159600000</v>
      </c>
      <c r="AL511" s="39">
        <f>+AJ511/('Volcano Summary'!C$8)*10^6</f>
        <v>177694.7985938037</v>
      </c>
      <c r="AM511" s="1">
        <f t="shared" si="314"/>
        <v>1127.7280892738286</v>
      </c>
    </row>
    <row r="512" spans="1:39" ht="12.75">
      <c r="A512" s="1">
        <f t="shared" si="324"/>
        <v>493637.6100373717</v>
      </c>
      <c r="B512" s="1">
        <f t="shared" si="325"/>
        <v>1133.3739511617734</v>
      </c>
      <c r="C512" s="1">
        <f t="shared" si="306"/>
        <v>76800</v>
      </c>
      <c r="D512" s="1">
        <f t="shared" si="315"/>
        <v>312.70560761786874</v>
      </c>
      <c r="E512" s="38">
        <f t="shared" si="307"/>
        <v>3301476093.8641353</v>
      </c>
      <c r="F512" s="38">
        <f t="shared" si="308"/>
        <v>2122677561.812778</v>
      </c>
      <c r="G512" s="38">
        <f t="shared" si="309"/>
        <v>943879029.7614213</v>
      </c>
      <c r="H512" s="18">
        <f t="shared" si="316"/>
        <v>0.0015989479811663882</v>
      </c>
      <c r="I512" s="50">
        <f t="shared" si="336"/>
        <v>0.022760032293577738</v>
      </c>
      <c r="J512" s="3">
        <f t="shared" si="317"/>
        <v>5.139210768709793</v>
      </c>
      <c r="K512" s="12">
        <f t="shared" si="334"/>
        <v>0.74682132766678</v>
      </c>
      <c r="L512" s="3">
        <f t="shared" si="318"/>
        <v>1180.0369527626278</v>
      </c>
      <c r="M512" s="12">
        <f t="shared" si="335"/>
        <v>0.7072018476803253</v>
      </c>
      <c r="N512" s="37">
        <f t="shared" si="319"/>
        <v>108638.90950661882</v>
      </c>
      <c r="O512" s="1">
        <f t="shared" si="310"/>
        <v>373793.06552613946</v>
      </c>
      <c r="P512">
        <f t="shared" si="320"/>
        <v>611.3861836238528</v>
      </c>
      <c r="Q512" s="1">
        <f t="shared" si="321"/>
        <v>66420.32827630878</v>
      </c>
      <c r="R512" s="1">
        <f>+Q512*1000/'Material Properties'!AE$35</f>
        <v>56961171.055770375</v>
      </c>
      <c r="S512" s="1">
        <f t="shared" si="322"/>
        <v>741.6819147886767</v>
      </c>
      <c r="T512" s="1">
        <f t="shared" si="323"/>
        <v>298.76018900458075</v>
      </c>
      <c r="U512">
        <f t="shared" si="311"/>
        <v>2.8625424112873646E-05</v>
      </c>
      <c r="V512">
        <f>+'Material Properties'!AE$31+'Material Properties'!AE$33</f>
        <v>0.00029034311030761144</v>
      </c>
      <c r="W512">
        <f t="shared" si="326"/>
        <v>0.00031896853442048506</v>
      </c>
      <c r="X512" s="1">
        <f>+'Volcano Summary'!E$12*10^9/Q512/3600/24/365</f>
        <v>0</v>
      </c>
      <c r="Y512" s="3">
        <f t="shared" si="327"/>
        <v>800</v>
      </c>
      <c r="Z512" s="1">
        <f>+Y512*'Volcano Summary'!B$19*'Volcano Summary'!B$20/1000</f>
        <v>32400000</v>
      </c>
      <c r="AA512" s="1">
        <f t="shared" si="312"/>
        <v>487802.46711843845</v>
      </c>
      <c r="AB512" s="3">
        <f t="shared" si="338"/>
        <v>135.50068531067734</v>
      </c>
      <c r="AC512" s="1">
        <f t="shared" si="328"/>
        <v>97923509.38037725</v>
      </c>
      <c r="AD512" s="36">
        <f t="shared" si="329"/>
        <v>27200.974827882565</v>
      </c>
      <c r="AE512" s="36">
        <f t="shared" si="337"/>
        <v>1133.3739511617734</v>
      </c>
      <c r="AG512" s="1">
        <f t="shared" si="313"/>
        <v>32400000000</v>
      </c>
      <c r="AH512" s="1">
        <f t="shared" si="330"/>
        <v>32400000</v>
      </c>
      <c r="AI512" s="1">
        <f t="shared" si="331"/>
        <v>32432400000</v>
      </c>
      <c r="AJ512" s="1">
        <f t="shared" si="332"/>
        <v>2592000000000</v>
      </c>
      <c r="AK512" s="1">
        <f t="shared" si="333"/>
        <v>2594592000000</v>
      </c>
      <c r="AL512" s="39">
        <f>+AJ512/('Volcano Summary'!C$8)*10^6</f>
        <v>179944.0998418265</v>
      </c>
      <c r="AM512" s="1">
        <f t="shared" si="314"/>
        <v>1133.3739511617734</v>
      </c>
    </row>
    <row r="513" spans="1:39" ht="12.75">
      <c r="A513" s="1">
        <f t="shared" si="324"/>
        <v>487802.46711843845</v>
      </c>
      <c r="B513" s="1">
        <f t="shared" si="325"/>
        <v>1138.9537658944655</v>
      </c>
      <c r="C513" s="1">
        <f t="shared" si="306"/>
        <v>77600</v>
      </c>
      <c r="D513" s="1">
        <f t="shared" si="315"/>
        <v>314.3300632638384</v>
      </c>
      <c r="E513" s="38">
        <f t="shared" si="307"/>
        <v>3318626734.434883</v>
      </c>
      <c r="F513" s="38">
        <f t="shared" si="308"/>
        <v>2133704532.4390087</v>
      </c>
      <c r="G513" s="38">
        <f t="shared" si="309"/>
        <v>948782330.4431349</v>
      </c>
      <c r="H513" s="18">
        <f t="shared" si="316"/>
        <v>0.001590684628788804</v>
      </c>
      <c r="I513" s="50">
        <f t="shared" si="336"/>
        <v>0.02274173059069557</v>
      </c>
      <c r="J513" s="3">
        <f t="shared" si="317"/>
        <v>5.117492128267557</v>
      </c>
      <c r="K513" s="12">
        <f t="shared" si="334"/>
        <v>0.7457571142851104</v>
      </c>
      <c r="L513" s="3">
        <f t="shared" si="318"/>
        <v>1178.3554111817011</v>
      </c>
      <c r="M513" s="12">
        <f t="shared" si="335"/>
        <v>0.7067023189501539</v>
      </c>
      <c r="N513" s="37">
        <f t="shared" si="319"/>
        <v>109770.56481397946</v>
      </c>
      <c r="O513" s="1">
        <f t="shared" si="310"/>
        <v>374844.5313939459</v>
      </c>
      <c r="P513">
        <f t="shared" si="320"/>
        <v>612.2454829510349</v>
      </c>
      <c r="Q513" s="1">
        <f t="shared" si="321"/>
        <v>67206.53246834273</v>
      </c>
      <c r="R513" s="1">
        <f>+Q513*1000/'Material Properties'!AE$35</f>
        <v>57635409.08845387</v>
      </c>
      <c r="S513" s="1">
        <f t="shared" si="322"/>
        <v>742.7243439233746</v>
      </c>
      <c r="T513" s="1">
        <f t="shared" si="323"/>
        <v>299.588480136591</v>
      </c>
      <c r="U513">
        <f t="shared" si="311"/>
        <v>2.8546518642248124E-05</v>
      </c>
      <c r="V513">
        <f>+'Material Properties'!AE$31+'Material Properties'!AE$33</f>
        <v>0.00029034311030761144</v>
      </c>
      <c r="W513">
        <f t="shared" si="326"/>
        <v>0.0003188896289498596</v>
      </c>
      <c r="X513" s="1">
        <f>+'Volcano Summary'!E$12*10^9/Q513/3600/24/365</f>
        <v>0</v>
      </c>
      <c r="Y513" s="3">
        <f t="shared" si="327"/>
        <v>800</v>
      </c>
      <c r="Z513" s="1">
        <f>+Y513*'Volcano Summary'!B$19*'Volcano Summary'!B$20/1000</f>
        <v>32400000</v>
      </c>
      <c r="AA513" s="1">
        <f t="shared" si="312"/>
        <v>482095.99290458625</v>
      </c>
      <c r="AB513" s="3">
        <f t="shared" si="338"/>
        <v>133.9155535846073</v>
      </c>
      <c r="AC513" s="1">
        <f t="shared" si="328"/>
        <v>98405605.37328184</v>
      </c>
      <c r="AD513" s="36">
        <f t="shared" si="329"/>
        <v>27334.890381467172</v>
      </c>
      <c r="AE513" s="36">
        <f t="shared" si="337"/>
        <v>1138.9537658944655</v>
      </c>
      <c r="AG513" s="1">
        <f t="shared" si="313"/>
        <v>32400000000.000004</v>
      </c>
      <c r="AH513" s="1">
        <f t="shared" si="330"/>
        <v>32400000</v>
      </c>
      <c r="AI513" s="1">
        <f t="shared" si="331"/>
        <v>32432400000.000004</v>
      </c>
      <c r="AJ513" s="1">
        <f t="shared" si="332"/>
        <v>2624400000000</v>
      </c>
      <c r="AK513" s="1">
        <f t="shared" si="333"/>
        <v>2627024400000</v>
      </c>
      <c r="AL513" s="39">
        <f>+AJ513/('Volcano Summary'!C$8)*10^6</f>
        <v>182193.40108984936</v>
      </c>
      <c r="AM513" s="1">
        <f t="shared" si="314"/>
        <v>1138.9537658944655</v>
      </c>
    </row>
    <row r="514" spans="1:39" ht="12.75">
      <c r="A514" s="1">
        <f t="shared" si="324"/>
        <v>482095.99290458625</v>
      </c>
      <c r="B514" s="1">
        <f t="shared" si="325"/>
        <v>1144.4689750693617</v>
      </c>
      <c r="C514" s="1">
        <f t="shared" si="306"/>
        <v>78400</v>
      </c>
      <c r="D514" s="1">
        <f t="shared" si="315"/>
        <v>315.94616678674356</v>
      </c>
      <c r="E514" s="38">
        <f t="shared" si="307"/>
        <v>3335689195.152252</v>
      </c>
      <c r="F514" s="38">
        <f t="shared" si="308"/>
        <v>2144674808.0019255</v>
      </c>
      <c r="G514" s="38">
        <f t="shared" si="309"/>
        <v>953660420.8515991</v>
      </c>
      <c r="H514" s="18">
        <f t="shared" si="316"/>
        <v>0.0015825480811656391</v>
      </c>
      <c r="I514" s="50">
        <f t="shared" si="336"/>
        <v>0.022723645559945053</v>
      </c>
      <c r="J514" s="3">
        <f t="shared" si="317"/>
        <v>5.096126167797914</v>
      </c>
      <c r="K514" s="12">
        <f t="shared" si="334"/>
        <v>0.7447101822220978</v>
      </c>
      <c r="L514" s="3">
        <f t="shared" si="318"/>
        <v>1176.7011754554044</v>
      </c>
      <c r="M514" s="12">
        <f t="shared" si="335"/>
        <v>0.7062109018593521</v>
      </c>
      <c r="N514" s="37">
        <f t="shared" si="319"/>
        <v>110902.22012134007</v>
      </c>
      <c r="O514" s="1">
        <f t="shared" si="310"/>
        <v>375887.6680867049</v>
      </c>
      <c r="P514">
        <f t="shared" si="320"/>
        <v>613.0967852523</v>
      </c>
      <c r="Q514" s="1">
        <f t="shared" si="321"/>
        <v>67993.79463373654</v>
      </c>
      <c r="R514" s="1">
        <f>+Q514*1000/'Material Properties'!AE$35</f>
        <v>58310554.424715735</v>
      </c>
      <c r="S514" s="1">
        <f t="shared" si="322"/>
        <v>743.7570717438232</v>
      </c>
      <c r="T514" s="1">
        <f t="shared" si="323"/>
        <v>300.39982866105345</v>
      </c>
      <c r="U514">
        <f t="shared" si="311"/>
        <v>2.8469647786124995E-05</v>
      </c>
      <c r="V514">
        <f>+'Material Properties'!AE$31+'Material Properties'!AE$33</f>
        <v>0.00029034311030761144</v>
      </c>
      <c r="W514">
        <f t="shared" si="326"/>
        <v>0.00031881275809373646</v>
      </c>
      <c r="X514" s="1">
        <f>+'Volcano Summary'!E$12*10^9/Q514/3600/24/365</f>
        <v>0</v>
      </c>
      <c r="Y514" s="3">
        <f t="shared" si="327"/>
        <v>800</v>
      </c>
      <c r="Z514" s="1">
        <f>+Y514*'Volcano Summary'!B$19*'Volcano Summary'!B$20/1000</f>
        <v>32400000</v>
      </c>
      <c r="AA514" s="1">
        <f t="shared" si="312"/>
        <v>476514.0727110421</v>
      </c>
      <c r="AB514" s="3">
        <f t="shared" si="338"/>
        <v>132.3650201975117</v>
      </c>
      <c r="AC514" s="1">
        <f t="shared" si="328"/>
        <v>98882119.44599287</v>
      </c>
      <c r="AD514" s="36">
        <f t="shared" si="329"/>
        <v>27467.255401664683</v>
      </c>
      <c r="AE514" s="36">
        <f t="shared" si="337"/>
        <v>1144.4689750693617</v>
      </c>
      <c r="AG514" s="1">
        <f t="shared" si="313"/>
        <v>32400000000</v>
      </c>
      <c r="AH514" s="1">
        <f t="shared" si="330"/>
        <v>32400000</v>
      </c>
      <c r="AI514" s="1">
        <f t="shared" si="331"/>
        <v>32432400000</v>
      </c>
      <c r="AJ514" s="1">
        <f t="shared" si="332"/>
        <v>2656800000000</v>
      </c>
      <c r="AK514" s="1">
        <f t="shared" si="333"/>
        <v>2659456800000</v>
      </c>
      <c r="AL514" s="39">
        <f>+AJ514/('Volcano Summary'!C$8)*10^6</f>
        <v>184442.70233787218</v>
      </c>
      <c r="AM514" s="1">
        <f t="shared" si="314"/>
        <v>1144.4689750693617</v>
      </c>
    </row>
    <row r="515" spans="1:39" ht="12.75">
      <c r="A515" s="1">
        <f t="shared" si="324"/>
        <v>476514.0727110421</v>
      </c>
      <c r="B515" s="1">
        <f t="shared" si="325"/>
        <v>1149.9209746458293</v>
      </c>
      <c r="C515" s="1">
        <f t="shared" si="306"/>
        <v>79200</v>
      </c>
      <c r="D515" s="1">
        <f t="shared" si="315"/>
        <v>317.55404570407364</v>
      </c>
      <c r="E515" s="38">
        <f t="shared" si="307"/>
        <v>3352664822.317468</v>
      </c>
      <c r="F515" s="38">
        <f t="shared" si="308"/>
        <v>2155589254.103254</v>
      </c>
      <c r="G515" s="38">
        <f t="shared" si="309"/>
        <v>958513685.8890396</v>
      </c>
      <c r="H515" s="18">
        <f t="shared" si="316"/>
        <v>0.001574535128001318</v>
      </c>
      <c r="I515" s="50">
        <f t="shared" si="336"/>
        <v>0.02270577244162178</v>
      </c>
      <c r="J515" s="3">
        <f t="shared" si="317"/>
        <v>5.075103631773775</v>
      </c>
      <c r="K515" s="12">
        <f t="shared" si="334"/>
        <v>0.743680077956915</v>
      </c>
      <c r="L515" s="3">
        <f t="shared" si="318"/>
        <v>1175.0735289848465</v>
      </c>
      <c r="M515" s="12">
        <f t="shared" si="335"/>
        <v>0.7057273835307969</v>
      </c>
      <c r="N515" s="37">
        <f t="shared" si="319"/>
        <v>112033.87542870063</v>
      </c>
      <c r="O515" s="1">
        <f t="shared" si="310"/>
        <v>376922.61047662975</v>
      </c>
      <c r="P515">
        <f t="shared" si="320"/>
        <v>613.940233635677</v>
      </c>
      <c r="Q515" s="1">
        <f t="shared" si="321"/>
        <v>68782.1036558068</v>
      </c>
      <c r="R515" s="1">
        <f>+Q515*1000/'Material Properties'!AE$35</f>
        <v>58986597.53103937</v>
      </c>
      <c r="S515" s="1">
        <f t="shared" si="322"/>
        <v>744.7802718565578</v>
      </c>
      <c r="T515" s="1">
        <f t="shared" si="323"/>
        <v>301.1947553442885</v>
      </c>
      <c r="U515">
        <f t="shared" si="311"/>
        <v>2.839473326911624E-05</v>
      </c>
      <c r="V515">
        <f>+'Material Properties'!AE$31+'Material Properties'!AE$33</f>
        <v>0.00029034311030761144</v>
      </c>
      <c r="W515">
        <f t="shared" si="326"/>
        <v>0.00031873784357672766</v>
      </c>
      <c r="X515" s="1">
        <f>+'Volcano Summary'!E$12*10^9/Q515/3600/24/365</f>
        <v>0</v>
      </c>
      <c r="Y515" s="3">
        <f t="shared" si="327"/>
        <v>800</v>
      </c>
      <c r="Z515" s="1">
        <f>+Y515*'Volcano Summary'!B$19*'Volcano Summary'!B$20/1000</f>
        <v>32400000</v>
      </c>
      <c r="AA515" s="1">
        <f t="shared" si="312"/>
        <v>471052.763406789</v>
      </c>
      <c r="AB515" s="3">
        <f t="shared" si="338"/>
        <v>130.84798983521915</v>
      </c>
      <c r="AC515" s="1">
        <f t="shared" si="328"/>
        <v>99353172.20939966</v>
      </c>
      <c r="AD515" s="36">
        <f t="shared" si="329"/>
        <v>27598.103391499903</v>
      </c>
      <c r="AE515" s="36">
        <f t="shared" si="337"/>
        <v>1149.9209746458293</v>
      </c>
      <c r="AG515" s="1">
        <f t="shared" si="313"/>
        <v>32399999999.999996</v>
      </c>
      <c r="AH515" s="1">
        <f t="shared" si="330"/>
        <v>32400000</v>
      </c>
      <c r="AI515" s="1">
        <f t="shared" si="331"/>
        <v>32432399999.999996</v>
      </c>
      <c r="AJ515" s="1">
        <f t="shared" si="332"/>
        <v>2689200000000</v>
      </c>
      <c r="AK515" s="1">
        <f t="shared" si="333"/>
        <v>2691889200000</v>
      </c>
      <c r="AL515" s="39">
        <f>+AJ515/('Volcano Summary'!C$8)*10^6</f>
        <v>186692.00358589503</v>
      </c>
      <c r="AM515" s="1">
        <f t="shared" si="314"/>
        <v>1149.9209746458293</v>
      </c>
    </row>
    <row r="516" spans="1:39" ht="12.75">
      <c r="A516" s="1">
        <f t="shared" si="324"/>
        <v>471052.763406789</v>
      </c>
      <c r="B516" s="1">
        <f t="shared" si="325"/>
        <v>1156.6586523748313</v>
      </c>
      <c r="C516" s="1">
        <f t="shared" si="306"/>
        <v>80000</v>
      </c>
      <c r="D516" s="1">
        <f t="shared" si="315"/>
        <v>319.15382432114615</v>
      </c>
      <c r="E516" s="38">
        <f t="shared" si="307"/>
        <v>3369554928.3183627</v>
      </c>
      <c r="F516" s="38">
        <f t="shared" si="308"/>
        <v>2166448714.540169</v>
      </c>
      <c r="G516" s="38">
        <f t="shared" si="309"/>
        <v>963342500.7619749</v>
      </c>
      <c r="H516" s="18">
        <f t="shared" si="316"/>
        <v>0.0015666426716443754</v>
      </c>
      <c r="I516" s="50">
        <f t="shared" si="336"/>
        <v>0.022688106627618502</v>
      </c>
      <c r="J516" s="3">
        <f t="shared" si="317"/>
        <v>5.054415598164471</v>
      </c>
      <c r="K516" s="12">
        <f t="shared" si="334"/>
        <v>0.7426663643100592</v>
      </c>
      <c r="L516" s="3">
        <f t="shared" si="318"/>
        <v>1173.4717809917263</v>
      </c>
      <c r="M516" s="12">
        <f t="shared" si="335"/>
        <v>0.7052515587577829</v>
      </c>
      <c r="N516" s="37">
        <f t="shared" si="319"/>
        <v>113165.53073606125</v>
      </c>
      <c r="O516" s="1">
        <f t="shared" si="310"/>
        <v>377949.4900285545</v>
      </c>
      <c r="P516">
        <f t="shared" si="320"/>
        <v>614.7759673479068</v>
      </c>
      <c r="Q516" s="1">
        <f t="shared" si="321"/>
        <v>69571.44862870133</v>
      </c>
      <c r="R516" s="1">
        <f>+Q516*1000/'Material Properties'!AE$35</f>
        <v>59663529.054714106</v>
      </c>
      <c r="S516" s="1">
        <f t="shared" si="322"/>
        <v>745.7941131839264</v>
      </c>
      <c r="T516" s="1">
        <f t="shared" si="323"/>
        <v>301.973759782151</v>
      </c>
      <c r="U516">
        <f t="shared" si="311"/>
        <v>2.832170078441214E-05</v>
      </c>
      <c r="V516">
        <f>+'Material Properties'!AE$31+'Material Properties'!AE$33</f>
        <v>0.00029034311030761144</v>
      </c>
      <c r="W516">
        <f t="shared" si="326"/>
        <v>0.0003186648110920236</v>
      </c>
      <c r="X516" s="1">
        <f>+'Volcano Summary'!E$12*10^9/Q516/3600/24/365</f>
        <v>0</v>
      </c>
      <c r="Y516" s="3">
        <f t="shared" si="327"/>
        <v>1000</v>
      </c>
      <c r="Z516" s="1">
        <f>+Y516*'Volcano Summary'!B$19*'Volcano Summary'!B$20/1000</f>
        <v>40500000</v>
      </c>
      <c r="AA516" s="1">
        <f t="shared" si="312"/>
        <v>582135.3557857632</v>
      </c>
      <c r="AB516" s="3">
        <f t="shared" si="338"/>
        <v>161.70426549604534</v>
      </c>
      <c r="AC516" s="1">
        <f t="shared" si="328"/>
        <v>99935307.56518541</v>
      </c>
      <c r="AD516" s="36">
        <f t="shared" si="329"/>
        <v>27759.80765699595</v>
      </c>
      <c r="AE516" s="36">
        <f t="shared" si="337"/>
        <v>1156.6586523748313</v>
      </c>
      <c r="AG516" s="1">
        <f t="shared" si="313"/>
        <v>40500000000</v>
      </c>
      <c r="AH516" s="1">
        <f t="shared" si="330"/>
        <v>40500000</v>
      </c>
      <c r="AI516" s="1">
        <f t="shared" si="331"/>
        <v>40540500000</v>
      </c>
      <c r="AJ516" s="1">
        <f t="shared" si="332"/>
        <v>2729700000000</v>
      </c>
      <c r="AK516" s="1">
        <f t="shared" si="333"/>
        <v>2732429700000</v>
      </c>
      <c r="AL516" s="39">
        <f>+AJ516/('Volcano Summary'!C$8)*10^6</f>
        <v>189503.63014592355</v>
      </c>
      <c r="AM516" s="1">
        <f t="shared" si="314"/>
        <v>1156.6586523748313</v>
      </c>
    </row>
    <row r="517" spans="1:39" ht="12.75">
      <c r="A517" s="1">
        <f t="shared" si="324"/>
        <v>582135.3557857632</v>
      </c>
      <c r="B517" s="1">
        <f t="shared" si="325"/>
        <v>1163.301975138251</v>
      </c>
      <c r="C517" s="1">
        <f aca="true" t="shared" si="339" ref="C517:C553">+C346*10</f>
        <v>81000</v>
      </c>
      <c r="D517" s="1">
        <f t="shared" si="315"/>
        <v>321.1423409074988</v>
      </c>
      <c r="E517" s="38">
        <f t="shared" si="307"/>
        <v>3390549243.1376805</v>
      </c>
      <c r="F517" s="38">
        <f t="shared" si="308"/>
        <v>2179946967.9654846</v>
      </c>
      <c r="G517" s="38">
        <f t="shared" si="309"/>
        <v>969344692.7932884</v>
      </c>
      <c r="H517" s="18">
        <f t="shared" si="316"/>
        <v>0.0015569420045549803</v>
      </c>
      <c r="I517" s="50">
        <f t="shared" si="336"/>
        <v>0.0226663090963594</v>
      </c>
      <c r="J517" s="3">
        <f t="shared" si="317"/>
        <v>5.029012872034858</v>
      </c>
      <c r="K517" s="12">
        <f t="shared" si="334"/>
        <v>0.7414216307297081</v>
      </c>
      <c r="L517" s="3">
        <f t="shared" si="318"/>
        <v>1171.5050031738676</v>
      </c>
      <c r="M517" s="12">
        <f t="shared" si="335"/>
        <v>0.7046672960568018</v>
      </c>
      <c r="N517" s="37">
        <f t="shared" si="319"/>
        <v>114580.09987026203</v>
      </c>
      <c r="O517" s="1">
        <f t="shared" si="310"/>
        <v>379221.94606541964</v>
      </c>
      <c r="P517">
        <f t="shared" si="320"/>
        <v>615.8099918525353</v>
      </c>
      <c r="Q517" s="1">
        <f t="shared" si="321"/>
        <v>70559.57036756874</v>
      </c>
      <c r="R517" s="1">
        <f>+Q517*1000/'Material Properties'!AE$35</f>
        <v>60510928.832044445</v>
      </c>
      <c r="S517" s="1">
        <f t="shared" si="322"/>
        <v>747.0485040993142</v>
      </c>
      <c r="T517" s="1">
        <f t="shared" si="323"/>
        <v>302.92585331268685</v>
      </c>
      <c r="U517">
        <f t="shared" si="311"/>
        <v>2.823294958764397E-05</v>
      </c>
      <c r="V517">
        <f>+'Material Properties'!AE$31+'Material Properties'!AE$33</f>
        <v>0.00029034311030761144</v>
      </c>
      <c r="W517">
        <f t="shared" si="326"/>
        <v>0.0003185760598952554</v>
      </c>
      <c r="X517" s="1">
        <f>+'Volcano Summary'!E$12*10^9/Q517/3600/24/365</f>
        <v>0</v>
      </c>
      <c r="Y517" s="3">
        <f t="shared" si="327"/>
        <v>1000</v>
      </c>
      <c r="Z517" s="1">
        <f>+Y517*'Volcano Summary'!B$19*'Volcano Summary'!B$20/1000</f>
        <v>40500000</v>
      </c>
      <c r="AA517" s="1">
        <f t="shared" si="312"/>
        <v>573983.0867594823</v>
      </c>
      <c r="AB517" s="3">
        <f t="shared" si="338"/>
        <v>159.4397463220784</v>
      </c>
      <c r="AC517" s="1">
        <f t="shared" si="328"/>
        <v>100509290.65194489</v>
      </c>
      <c r="AD517" s="36">
        <f t="shared" si="329"/>
        <v>27919.247403318026</v>
      </c>
      <c r="AE517" s="36">
        <f t="shared" si="337"/>
        <v>1163.301975138251</v>
      </c>
      <c r="AG517" s="1">
        <f t="shared" si="313"/>
        <v>40500000000</v>
      </c>
      <c r="AH517" s="1">
        <f t="shared" si="330"/>
        <v>40500000</v>
      </c>
      <c r="AI517" s="1">
        <f t="shared" si="331"/>
        <v>40540500000</v>
      </c>
      <c r="AJ517" s="1">
        <f t="shared" si="332"/>
        <v>2770200000000</v>
      </c>
      <c r="AK517" s="1">
        <f t="shared" si="333"/>
        <v>2772970200000</v>
      </c>
      <c r="AL517" s="39">
        <f>+AJ517/('Volcano Summary'!C$8)*10^6</f>
        <v>192315.25670595208</v>
      </c>
      <c r="AM517" s="1">
        <f t="shared" si="314"/>
        <v>1163.301975138251</v>
      </c>
    </row>
    <row r="518" spans="1:39" ht="12.75">
      <c r="A518" s="1">
        <f t="shared" si="324"/>
        <v>573983.0867594823</v>
      </c>
      <c r="B518" s="1">
        <f t="shared" si="325"/>
        <v>1169.853404333095</v>
      </c>
      <c r="C518" s="1">
        <f t="shared" si="339"/>
        <v>82000</v>
      </c>
      <c r="D518" s="1">
        <f t="shared" si="315"/>
        <v>323.1186201200471</v>
      </c>
      <c r="E518" s="38">
        <f t="shared" si="307"/>
        <v>3411414358.4924464</v>
      </c>
      <c r="F518" s="38">
        <f t="shared" si="308"/>
        <v>2193362152.849152</v>
      </c>
      <c r="G518" s="38">
        <f t="shared" si="309"/>
        <v>975309947.2058582</v>
      </c>
      <c r="H518" s="18">
        <f t="shared" si="316"/>
        <v>0.0015474193341573344</v>
      </c>
      <c r="I518" s="50">
        <f t="shared" si="336"/>
        <v>0.02264482010333671</v>
      </c>
      <c r="J518" s="3">
        <f t="shared" si="317"/>
        <v>5.004103244641792</v>
      </c>
      <c r="K518" s="12">
        <f t="shared" si="334"/>
        <v>0.7402010589874479</v>
      </c>
      <c r="L518" s="3">
        <f t="shared" si="318"/>
        <v>1169.5764029772654</v>
      </c>
      <c r="M518" s="12">
        <f t="shared" si="335"/>
        <v>0.7040943746267613</v>
      </c>
      <c r="N518" s="37">
        <f t="shared" si="319"/>
        <v>115994.66900446278</v>
      </c>
      <c r="O518" s="1">
        <f t="shared" si="310"/>
        <v>380482.247350281</v>
      </c>
      <c r="P518">
        <f t="shared" si="320"/>
        <v>616.8324305273524</v>
      </c>
      <c r="Q518" s="1">
        <f t="shared" si="321"/>
        <v>71549.27361023852</v>
      </c>
      <c r="R518" s="1">
        <f>+Q518*1000/'Material Properties'!AE$35</f>
        <v>61359684.8855473</v>
      </c>
      <c r="S518" s="1">
        <f t="shared" si="322"/>
        <v>748.2888400676501</v>
      </c>
      <c r="T518" s="1">
        <f t="shared" si="323"/>
        <v>303.85471092676346</v>
      </c>
      <c r="U518">
        <f t="shared" si="311"/>
        <v>2.814689877611566E-05</v>
      </c>
      <c r="V518">
        <f>+'Material Properties'!AE$31+'Material Properties'!AE$33</f>
        <v>0.00029034311030761144</v>
      </c>
      <c r="W518">
        <f t="shared" si="326"/>
        <v>0.0003184900090837271</v>
      </c>
      <c r="X518" s="1">
        <f>+'Volcano Summary'!E$12*10^9/Q518/3600/24/365</f>
        <v>0</v>
      </c>
      <c r="Y518" s="3">
        <f t="shared" si="327"/>
        <v>1000</v>
      </c>
      <c r="Z518" s="1">
        <f>+Y518*'Volcano Summary'!B$19*'Volcano Summary'!B$20/1000</f>
        <v>40500000</v>
      </c>
      <c r="AA518" s="1">
        <f t="shared" si="312"/>
        <v>566043.482434524</v>
      </c>
      <c r="AB518" s="3">
        <f t="shared" si="338"/>
        <v>157.23430067625665</v>
      </c>
      <c r="AC518" s="1">
        <f t="shared" si="328"/>
        <v>101075334.13437942</v>
      </c>
      <c r="AD518" s="36">
        <f t="shared" si="329"/>
        <v>28076.481703994283</v>
      </c>
      <c r="AE518" s="36">
        <f t="shared" si="337"/>
        <v>1169.853404333095</v>
      </c>
      <c r="AG518" s="1">
        <f t="shared" si="313"/>
        <v>40500000000</v>
      </c>
      <c r="AH518" s="1">
        <f t="shared" si="330"/>
        <v>40500000</v>
      </c>
      <c r="AI518" s="1">
        <f t="shared" si="331"/>
        <v>40540500000</v>
      </c>
      <c r="AJ518" s="1">
        <f t="shared" si="332"/>
        <v>2810700000000</v>
      </c>
      <c r="AK518" s="1">
        <f t="shared" si="333"/>
        <v>2813510700000</v>
      </c>
      <c r="AL518" s="39">
        <f>+AJ518/('Volcano Summary'!C$8)*10^6</f>
        <v>195126.88326598064</v>
      </c>
      <c r="AM518" s="1">
        <f t="shared" si="314"/>
        <v>1169.853404333095</v>
      </c>
    </row>
    <row r="519" spans="1:39" ht="12.75">
      <c r="A519" s="1">
        <f t="shared" si="324"/>
        <v>566043.482434524</v>
      </c>
      <c r="B519" s="1">
        <f t="shared" si="325"/>
        <v>1176.3153084018893</v>
      </c>
      <c r="C519" s="1">
        <f t="shared" si="339"/>
        <v>83000</v>
      </c>
      <c r="D519" s="1">
        <f t="shared" si="315"/>
        <v>325.08288514318696</v>
      </c>
      <c r="E519" s="38">
        <f t="shared" si="307"/>
        <v>3432152630.713757</v>
      </c>
      <c r="F519" s="38">
        <f t="shared" si="308"/>
        <v>2206695784.1896167</v>
      </c>
      <c r="G519" s="38">
        <f t="shared" si="309"/>
        <v>981238937.6654766</v>
      </c>
      <c r="H519" s="18">
        <f t="shared" si="316"/>
        <v>0.0015380692827915827</v>
      </c>
      <c r="I519" s="50">
        <f t="shared" si="336"/>
        <v>0.02262363155974084</v>
      </c>
      <c r="J519" s="3">
        <f t="shared" si="317"/>
        <v>4.979671276723161</v>
      </c>
      <c r="K519" s="12">
        <f t="shared" si="334"/>
        <v>0.739003892559435</v>
      </c>
      <c r="L519" s="3">
        <f t="shared" si="318"/>
        <v>1167.6847850342217</v>
      </c>
      <c r="M519" s="12">
        <f t="shared" si="335"/>
        <v>0.7035324393646327</v>
      </c>
      <c r="N519" s="37">
        <f t="shared" si="319"/>
        <v>117409.23813866354</v>
      </c>
      <c r="O519" s="1">
        <f t="shared" si="310"/>
        <v>381730.62984392425</v>
      </c>
      <c r="P519">
        <f t="shared" si="320"/>
        <v>617.8435318459879</v>
      </c>
      <c r="Q519" s="1">
        <f t="shared" si="321"/>
        <v>72540.53836293853</v>
      </c>
      <c r="R519" s="1">
        <f>+Q519*1000/'Material Properties'!AE$35</f>
        <v>62209780.068835355</v>
      </c>
      <c r="S519" s="1">
        <f t="shared" si="322"/>
        <v>749.5154225160886</v>
      </c>
      <c r="T519" s="1">
        <f t="shared" si="323"/>
        <v>304.76118361150475</v>
      </c>
      <c r="U519">
        <f t="shared" si="311"/>
        <v>2.8063425975941087E-05</v>
      </c>
      <c r="V519">
        <f>+'Material Properties'!AE$31+'Material Properties'!AE$33</f>
        <v>0.00029034311030761144</v>
      </c>
      <c r="W519">
        <f t="shared" si="326"/>
        <v>0.00031840653628355253</v>
      </c>
      <c r="X519" s="1">
        <f>+'Volcano Summary'!E$12*10^9/Q519/3600/24/365</f>
        <v>0</v>
      </c>
      <c r="Y519" s="3">
        <f t="shared" si="327"/>
        <v>1000</v>
      </c>
      <c r="Z519" s="1">
        <f>+Y519*'Volcano Summary'!B$19*'Volcano Summary'!B$20/1000</f>
        <v>40500000</v>
      </c>
      <c r="AA519" s="1">
        <f t="shared" si="312"/>
        <v>558308.5115438257</v>
      </c>
      <c r="AB519" s="3">
        <f t="shared" si="338"/>
        <v>155.0856976510627</v>
      </c>
      <c r="AC519" s="1">
        <f t="shared" si="328"/>
        <v>101633642.64592324</v>
      </c>
      <c r="AD519" s="36">
        <f t="shared" si="329"/>
        <v>28231.567401645345</v>
      </c>
      <c r="AE519" s="36">
        <f t="shared" si="337"/>
        <v>1176.3153084018893</v>
      </c>
      <c r="AG519" s="1">
        <f t="shared" si="313"/>
        <v>40500000000</v>
      </c>
      <c r="AH519" s="1">
        <f t="shared" si="330"/>
        <v>40500000</v>
      </c>
      <c r="AI519" s="1">
        <f t="shared" si="331"/>
        <v>40540500000</v>
      </c>
      <c r="AJ519" s="1">
        <f t="shared" si="332"/>
        <v>2851200000000</v>
      </c>
      <c r="AK519" s="1">
        <f t="shared" si="333"/>
        <v>2854051200000</v>
      </c>
      <c r="AL519" s="39">
        <f>+AJ519/('Volcano Summary'!C$8)*10^6</f>
        <v>197938.50982600916</v>
      </c>
      <c r="AM519" s="1">
        <f t="shared" si="314"/>
        <v>1176.3153084018893</v>
      </c>
    </row>
    <row r="520" spans="1:39" ht="12.75">
      <c r="A520" s="1">
        <f t="shared" si="324"/>
        <v>558308.5115438257</v>
      </c>
      <c r="B520" s="1">
        <f t="shared" si="325"/>
        <v>1182.6899674011659</v>
      </c>
      <c r="C520" s="1">
        <f t="shared" si="339"/>
        <v>84000</v>
      </c>
      <c r="D520" s="1">
        <f t="shared" si="315"/>
        <v>327.0353524586504</v>
      </c>
      <c r="E520" s="38">
        <f t="shared" si="307"/>
        <v>3452766345.3674784</v>
      </c>
      <c r="F520" s="38">
        <f t="shared" si="308"/>
        <v>2219949331.486957</v>
      </c>
      <c r="G520" s="38">
        <f t="shared" si="309"/>
        <v>987132317.6064354</v>
      </c>
      <c r="H520" s="18">
        <f t="shared" si="316"/>
        <v>0.0015288866975420308</v>
      </c>
      <c r="I520" s="50">
        <f t="shared" si="336"/>
        <v>0.02260273568364953</v>
      </c>
      <c r="J520" s="3">
        <f t="shared" si="317"/>
        <v>4.955702191479034</v>
      </c>
      <c r="K520" s="12">
        <f t="shared" si="334"/>
        <v>0.7378294073824727</v>
      </c>
      <c r="L520" s="3">
        <f t="shared" si="318"/>
        <v>1165.829005267437</v>
      </c>
      <c r="M520" s="12">
        <f t="shared" si="335"/>
        <v>0.7029811504040179</v>
      </c>
      <c r="N520" s="37">
        <f t="shared" si="319"/>
        <v>118823.80727286435</v>
      </c>
      <c r="O520" s="1">
        <f t="shared" si="310"/>
        <v>382967.32238623564</v>
      </c>
      <c r="P520">
        <f t="shared" si="320"/>
        <v>618.843536272486</v>
      </c>
      <c r="Q520" s="1">
        <f t="shared" si="321"/>
        <v>73533.3450860997</v>
      </c>
      <c r="R520" s="1">
        <f>+Q520*1000/'Material Properties'!AE$35</f>
        <v>63061197.62503965</v>
      </c>
      <c r="S520" s="1">
        <f t="shared" si="322"/>
        <v>750.728543155234</v>
      </c>
      <c r="T520" s="1">
        <f t="shared" si="323"/>
        <v>305.64608120166633</v>
      </c>
      <c r="U520">
        <f t="shared" si="311"/>
        <v>2.798241610649359E-05</v>
      </c>
      <c r="V520">
        <f>+'Material Properties'!AE$31+'Material Properties'!AE$33</f>
        <v>0.00029034311030761144</v>
      </c>
      <c r="W520">
        <f t="shared" si="326"/>
        <v>0.000318325526414105</v>
      </c>
      <c r="X520" s="1">
        <f>+'Volcano Summary'!E$12*10^9/Q520/3600/24/365</f>
        <v>0</v>
      </c>
      <c r="Y520" s="3">
        <f t="shared" si="327"/>
        <v>1000</v>
      </c>
      <c r="Z520" s="1">
        <f>+Y520*'Volcano Summary'!B$19*'Volcano Summary'!B$20/1000</f>
        <v>40500000</v>
      </c>
      <c r="AA520" s="1">
        <f t="shared" si="312"/>
        <v>550770.537537478</v>
      </c>
      <c r="AB520" s="3">
        <f t="shared" si="338"/>
        <v>152.99181598263277</v>
      </c>
      <c r="AC520" s="1">
        <f t="shared" si="328"/>
        <v>102184413.18346073</v>
      </c>
      <c r="AD520" s="36">
        <f t="shared" si="329"/>
        <v>28384.55921762798</v>
      </c>
      <c r="AE520" s="36">
        <f t="shared" si="337"/>
        <v>1182.6899674011659</v>
      </c>
      <c r="AG520" s="1">
        <f t="shared" si="313"/>
        <v>40500000000</v>
      </c>
      <c r="AH520" s="1">
        <f t="shared" si="330"/>
        <v>40500000</v>
      </c>
      <c r="AI520" s="1">
        <f t="shared" si="331"/>
        <v>40540500000</v>
      </c>
      <c r="AJ520" s="1">
        <f t="shared" si="332"/>
        <v>2891700000000</v>
      </c>
      <c r="AK520" s="1">
        <f t="shared" si="333"/>
        <v>2894591700000</v>
      </c>
      <c r="AL520" s="39">
        <f>+AJ520/('Volcano Summary'!C$8)*10^6</f>
        <v>200750.1363860377</v>
      </c>
      <c r="AM520" s="1">
        <f t="shared" si="314"/>
        <v>1182.6899674011659</v>
      </c>
    </row>
    <row r="521" spans="1:39" ht="12.75">
      <c r="A521" s="1">
        <f t="shared" si="324"/>
        <v>550770.537537478</v>
      </c>
      <c r="B521" s="1">
        <f t="shared" si="325"/>
        <v>1188.9795772946381</v>
      </c>
      <c r="C521" s="1">
        <f t="shared" si="339"/>
        <v>85000</v>
      </c>
      <c r="D521" s="1">
        <f t="shared" si="315"/>
        <v>328.97623212397707</v>
      </c>
      <c r="E521" s="38">
        <f t="shared" si="307"/>
        <v>3473257720.194289</v>
      </c>
      <c r="F521" s="38">
        <f t="shared" si="308"/>
        <v>2233124220.63318</v>
      </c>
      <c r="G521" s="38">
        <f t="shared" si="309"/>
        <v>992990721.0720712</v>
      </c>
      <c r="H521" s="18">
        <f t="shared" si="316"/>
        <v>0.0015198666383034365</v>
      </c>
      <c r="I521" s="50">
        <f t="shared" si="336"/>
        <v>0.022582124984878146</v>
      </c>
      <c r="J521" s="3">
        <f t="shared" si="317"/>
        <v>4.932181838651479</v>
      </c>
      <c r="K521" s="12">
        <f t="shared" si="334"/>
        <v>0.7366769100939226</v>
      </c>
      <c r="L521" s="3">
        <f t="shared" si="318"/>
        <v>1164.0079681089283</v>
      </c>
      <c r="M521" s="12">
        <f t="shared" si="335"/>
        <v>0.7024401822889841</v>
      </c>
      <c r="N521" s="37">
        <f t="shared" si="319"/>
        <v>120238.37640706512</v>
      </c>
      <c r="O521" s="1">
        <f t="shared" si="310"/>
        <v>384192.54698942363</v>
      </c>
      <c r="P521">
        <f t="shared" si="320"/>
        <v>619.8326766066981</v>
      </c>
      <c r="Q521" s="1">
        <f t="shared" si="321"/>
        <v>74527.67467923483</v>
      </c>
      <c r="R521" s="1">
        <f>+Q521*1000/'Material Properties'!AE$35</f>
        <v>63913921.17384191</v>
      </c>
      <c r="S521" s="1">
        <f t="shared" si="322"/>
        <v>751.9284843981401</v>
      </c>
      <c r="T521" s="1">
        <f t="shared" si="323"/>
        <v>306.51017483773785</v>
      </c>
      <c r="U521">
        <f t="shared" si="311"/>
        <v>2.7903760845026434E-05</v>
      </c>
      <c r="V521">
        <f>+'Material Properties'!AE$31+'Material Properties'!AE$33</f>
        <v>0.00029034311030761144</v>
      </c>
      <c r="W521">
        <f t="shared" si="326"/>
        <v>0.0003182468711526379</v>
      </c>
      <c r="X521" s="1">
        <f>+'Volcano Summary'!E$12*10^9/Q521/3600/24/365</f>
        <v>0</v>
      </c>
      <c r="Y521" s="3">
        <f t="shared" si="327"/>
        <v>1000</v>
      </c>
      <c r="Z521" s="1">
        <f>+Y521*'Volcano Summary'!B$19*'Volcano Summary'!B$20/1000</f>
        <v>40500000</v>
      </c>
      <c r="AA521" s="1">
        <f t="shared" si="312"/>
        <v>543422.2947960062</v>
      </c>
      <c r="AB521" s="3">
        <f t="shared" si="338"/>
        <v>150.95063744333504</v>
      </c>
      <c r="AC521" s="1">
        <f t="shared" si="328"/>
        <v>102727835.47825673</v>
      </c>
      <c r="AD521" s="36">
        <f t="shared" si="329"/>
        <v>28535.509855071316</v>
      </c>
      <c r="AE521" s="36">
        <f t="shared" si="337"/>
        <v>1188.9795772946381</v>
      </c>
      <c r="AG521" s="1">
        <f t="shared" si="313"/>
        <v>40499999999.99999</v>
      </c>
      <c r="AH521" s="1">
        <f t="shared" si="330"/>
        <v>40500000</v>
      </c>
      <c r="AI521" s="1">
        <f t="shared" si="331"/>
        <v>40540499999.99999</v>
      </c>
      <c r="AJ521" s="1">
        <f t="shared" si="332"/>
        <v>2932200000000</v>
      </c>
      <c r="AK521" s="1">
        <f t="shared" si="333"/>
        <v>2935132200000</v>
      </c>
      <c r="AL521" s="39">
        <f>+AJ521/('Volcano Summary'!C$8)*10^6</f>
        <v>203561.76294606627</v>
      </c>
      <c r="AM521" s="1">
        <f t="shared" si="314"/>
        <v>1188.9795772946381</v>
      </c>
    </row>
    <row r="522" spans="1:39" ht="12.75">
      <c r="A522" s="1">
        <f t="shared" si="324"/>
        <v>543422.2947960062</v>
      </c>
      <c r="B522" s="1">
        <f t="shared" si="325"/>
        <v>1195.1862539906504</v>
      </c>
      <c r="C522" s="1">
        <f t="shared" si="339"/>
        <v>86000</v>
      </c>
      <c r="D522" s="1">
        <f t="shared" si="315"/>
        <v>330.90572803628527</v>
      </c>
      <c r="E522" s="38">
        <f t="shared" si="307"/>
        <v>3493628907.894506</v>
      </c>
      <c r="F522" s="38">
        <f t="shared" si="308"/>
        <v>2246221835.702722</v>
      </c>
      <c r="G522" s="38">
        <f t="shared" si="309"/>
        <v>998814763.5109379</v>
      </c>
      <c r="H522" s="18">
        <f t="shared" si="316"/>
        <v>0.0015110043666127556</v>
      </c>
      <c r="I522" s="50">
        <f t="shared" si="336"/>
        <v>0.022561792250746684</v>
      </c>
      <c r="J522" s="3">
        <f t="shared" si="317"/>
        <v>4.909096660948807</v>
      </c>
      <c r="K522" s="12">
        <f t="shared" si="334"/>
        <v>0.7355457363864917</v>
      </c>
      <c r="L522" s="3">
        <f t="shared" si="318"/>
        <v>1162.2206239004652</v>
      </c>
      <c r="M522" s="12">
        <f t="shared" si="335"/>
        <v>0.7019092232018226</v>
      </c>
      <c r="N522" s="37">
        <f t="shared" si="319"/>
        <v>121652.94554126584</v>
      </c>
      <c r="O522" s="1">
        <f t="shared" si="310"/>
        <v>385406.51911595126</v>
      </c>
      <c r="P522">
        <f t="shared" si="320"/>
        <v>620.8111783110476</v>
      </c>
      <c r="Q522" s="1">
        <f t="shared" si="321"/>
        <v>75523.50846648295</v>
      </c>
      <c r="R522" s="1">
        <f>+Q522*1000/'Material Properties'!AE$35</f>
        <v>64767934.6990775</v>
      </c>
      <c r="S522" s="1">
        <f t="shared" si="322"/>
        <v>753.1155197567151</v>
      </c>
      <c r="T522" s="1">
        <f t="shared" si="323"/>
        <v>307.35419925002975</v>
      </c>
      <c r="U522">
        <f t="shared" si="311"/>
        <v>2.782735813776322E-05</v>
      </c>
      <c r="V522">
        <f>+'Material Properties'!AE$31+'Material Properties'!AE$33</f>
        <v>0.00029034311030761144</v>
      </c>
      <c r="W522">
        <f t="shared" si="326"/>
        <v>0.00031817046844537467</v>
      </c>
      <c r="X522" s="1">
        <f>+'Volcano Summary'!E$12*10^9/Q522/3600/24/365</f>
        <v>0</v>
      </c>
      <c r="Y522" s="3">
        <f t="shared" si="327"/>
        <v>1000</v>
      </c>
      <c r="Z522" s="1">
        <f>+Y522*'Volcano Summary'!B$19*'Volcano Summary'!B$20/1000</f>
        <v>40500000</v>
      </c>
      <c r="AA522" s="1">
        <f t="shared" si="312"/>
        <v>536256.8665354543</v>
      </c>
      <c r="AB522" s="3">
        <f t="shared" si="338"/>
        <v>148.96024070429286</v>
      </c>
      <c r="AC522" s="1">
        <f t="shared" si="328"/>
        <v>103264092.34479219</v>
      </c>
      <c r="AD522" s="36">
        <f t="shared" si="329"/>
        <v>28684.470095775607</v>
      </c>
      <c r="AE522" s="36">
        <f t="shared" si="337"/>
        <v>1195.1862539906504</v>
      </c>
      <c r="AG522" s="1">
        <f t="shared" si="313"/>
        <v>40500000000</v>
      </c>
      <c r="AH522" s="1">
        <f t="shared" si="330"/>
        <v>40500000</v>
      </c>
      <c r="AI522" s="1">
        <f t="shared" si="331"/>
        <v>40540500000</v>
      </c>
      <c r="AJ522" s="1">
        <f t="shared" si="332"/>
        <v>2972700000000</v>
      </c>
      <c r="AK522" s="1">
        <f t="shared" si="333"/>
        <v>2975672700000</v>
      </c>
      <c r="AL522" s="39">
        <f>+AJ522/('Volcano Summary'!C$8)*10^6</f>
        <v>206373.3895060948</v>
      </c>
      <c r="AM522" s="1">
        <f t="shared" si="314"/>
        <v>1195.1862539906504</v>
      </c>
    </row>
    <row r="523" spans="1:39" ht="12.75">
      <c r="A523" s="1">
        <f t="shared" si="324"/>
        <v>536256.8665354543</v>
      </c>
      <c r="B523" s="1">
        <f t="shared" si="325"/>
        <v>1201.312037141877</v>
      </c>
      <c r="C523" s="1">
        <f t="shared" si="339"/>
        <v>87000</v>
      </c>
      <c r="D523" s="1">
        <f t="shared" si="315"/>
        <v>332.8240381822791</v>
      </c>
      <c r="E523" s="38">
        <f t="shared" si="307"/>
        <v>3513881998.767616</v>
      </c>
      <c r="F523" s="38">
        <f t="shared" si="308"/>
        <v>2259243520.649526</v>
      </c>
      <c r="G523" s="38">
        <f t="shared" si="309"/>
        <v>1004605042.5314369</v>
      </c>
      <c r="H523" s="18">
        <f t="shared" si="316"/>
        <v>0.0015022953351889895</v>
      </c>
      <c r="I523" s="50">
        <f t="shared" si="336"/>
        <v>0.02254173053269815</v>
      </c>
      <c r="J523" s="3">
        <f t="shared" si="317"/>
        <v>4.886433662635964</v>
      </c>
      <c r="K523" s="12">
        <f t="shared" si="334"/>
        <v>0.7344352494691624</v>
      </c>
      <c r="L523" s="3">
        <f t="shared" si="318"/>
        <v>1160.4659664617147</v>
      </c>
      <c r="M523" s="12">
        <f t="shared" si="335"/>
        <v>0.7013879742406273</v>
      </c>
      <c r="N523" s="37">
        <f t="shared" si="319"/>
        <v>123067.51467546663</v>
      </c>
      <c r="O523" s="1">
        <f t="shared" si="310"/>
        <v>386609.4479421408</v>
      </c>
      <c r="P523">
        <f t="shared" si="320"/>
        <v>621.7792598198663</v>
      </c>
      <c r="Q523" s="1">
        <f t="shared" si="321"/>
        <v>76520.82818278218</v>
      </c>
      <c r="R523" s="1">
        <f>+Q523*1000/'Material Properties'!AE$35</f>
        <v>65623222.53687753</v>
      </c>
      <c r="S523" s="1">
        <f t="shared" si="322"/>
        <v>754.2899142169831</v>
      </c>
      <c r="T523" s="1">
        <f t="shared" si="323"/>
        <v>308.1788548829327</v>
      </c>
      <c r="U523">
        <f t="shared" si="311"/>
        <v>2.775311175282108E-05</v>
      </c>
      <c r="V523">
        <f>+'Material Properties'!AE$31+'Material Properties'!AE$33</f>
        <v>0.00029034311030761144</v>
      </c>
      <c r="W523">
        <f t="shared" si="326"/>
        <v>0.0003180962220604325</v>
      </c>
      <c r="X523" s="1">
        <f>+'Volcano Summary'!E$12*10^9/Q523/3600/24/365</f>
        <v>0</v>
      </c>
      <c r="Y523" s="3">
        <f t="shared" si="327"/>
        <v>1000</v>
      </c>
      <c r="Z523" s="1">
        <f>+Y523*'Volcano Summary'!B$19*'Volcano Summary'!B$20/1000</f>
        <v>40500000</v>
      </c>
      <c r="AA523" s="1">
        <f t="shared" si="312"/>
        <v>529267.6642659865</v>
      </c>
      <c r="AB523" s="3">
        <f t="shared" si="338"/>
        <v>147.01879562944072</v>
      </c>
      <c r="AC523" s="1">
        <f t="shared" si="328"/>
        <v>103793360.00905818</v>
      </c>
      <c r="AD523" s="36">
        <f t="shared" si="329"/>
        <v>28831.488891405046</v>
      </c>
      <c r="AE523" s="36">
        <f t="shared" si="337"/>
        <v>1201.312037141877</v>
      </c>
      <c r="AG523" s="1">
        <f t="shared" si="313"/>
        <v>40500000000</v>
      </c>
      <c r="AH523" s="1">
        <f t="shared" si="330"/>
        <v>40500000</v>
      </c>
      <c r="AI523" s="1">
        <f t="shared" si="331"/>
        <v>40540500000</v>
      </c>
      <c r="AJ523" s="1">
        <f t="shared" si="332"/>
        <v>3013200000000</v>
      </c>
      <c r="AK523" s="1">
        <f t="shared" si="333"/>
        <v>3016213200000</v>
      </c>
      <c r="AL523" s="39">
        <f>+AJ523/('Volcano Summary'!C$8)*10^6</f>
        <v>209185.01606612332</v>
      </c>
      <c r="AM523" s="1">
        <f t="shared" si="314"/>
        <v>1201.312037141877</v>
      </c>
    </row>
    <row r="524" spans="1:39" ht="12.75">
      <c r="A524" s="1">
        <f t="shared" si="324"/>
        <v>529267.6642659865</v>
      </c>
      <c r="B524" s="1">
        <f t="shared" si="325"/>
        <v>1207.3588937238035</v>
      </c>
      <c r="C524" s="1">
        <f t="shared" si="339"/>
        <v>88000</v>
      </c>
      <c r="D524" s="1">
        <f t="shared" si="315"/>
        <v>334.7313548753602</v>
      </c>
      <c r="E524" s="38">
        <f t="shared" si="307"/>
        <v>3534019023.21564</v>
      </c>
      <c r="F524" s="38">
        <f t="shared" si="308"/>
        <v>2272190580.91658</v>
      </c>
      <c r="G524" s="38">
        <f t="shared" si="309"/>
        <v>1010362138.6175203</v>
      </c>
      <c r="H524" s="18">
        <f t="shared" si="316"/>
        <v>0.0014937351781286784</v>
      </c>
      <c r="I524" s="50">
        <f t="shared" si="336"/>
        <v>0.022521933133708094</v>
      </c>
      <c r="J524" s="3">
        <f t="shared" si="317"/>
        <v>4.864180380128165</v>
      </c>
      <c r="K524" s="12">
        <f t="shared" si="334"/>
        <v>0.7333448386262802</v>
      </c>
      <c r="L524" s="3">
        <f t="shared" si="318"/>
        <v>1158.7430308134867</v>
      </c>
      <c r="M524" s="12">
        <f t="shared" si="335"/>
        <v>0.7008761487429479</v>
      </c>
      <c r="N524" s="37">
        <f t="shared" si="319"/>
        <v>124482.08380966741</v>
      </c>
      <c r="O524" s="1">
        <f t="shared" si="310"/>
        <v>387801.53660834476</v>
      </c>
      <c r="P524">
        <f t="shared" si="320"/>
        <v>622.7371328324214</v>
      </c>
      <c r="Q524" s="1">
        <f t="shared" si="321"/>
        <v>77519.61596063747</v>
      </c>
      <c r="R524" s="1">
        <f>+Q524*1000/'Material Properties'!AE$35</f>
        <v>66479769.36432103</v>
      </c>
      <c r="S524" s="1">
        <f t="shared" si="322"/>
        <v>755.4519245945571</v>
      </c>
      <c r="T524" s="1">
        <f t="shared" si="323"/>
        <v>308.98480987224343</v>
      </c>
      <c r="U524">
        <f t="shared" si="311"/>
        <v>2.7680930870849786E-05</v>
      </c>
      <c r="V524">
        <f>+'Material Properties'!AE$31+'Material Properties'!AE$33</f>
        <v>0.00029034311030761144</v>
      </c>
      <c r="W524">
        <f t="shared" si="326"/>
        <v>0.0003180240411784612</v>
      </c>
      <c r="X524" s="1">
        <f>+'Volcano Summary'!E$12*10^9/Q524/3600/24/365</f>
        <v>0</v>
      </c>
      <c r="Y524" s="3">
        <f t="shared" si="327"/>
        <v>1000</v>
      </c>
      <c r="Z524" s="1">
        <f>+Y524*'Volcano Summary'!B$19*'Volcano Summary'!B$20/1000</f>
        <v>40500000</v>
      </c>
      <c r="AA524" s="1">
        <f t="shared" si="312"/>
        <v>522448.4086784549</v>
      </c>
      <c r="AB524" s="3">
        <f t="shared" si="338"/>
        <v>145.1245579662375</v>
      </c>
      <c r="AC524" s="1">
        <f t="shared" si="328"/>
        <v>104315808.41773663</v>
      </c>
      <c r="AD524" s="36">
        <f t="shared" si="329"/>
        <v>28976.613449371285</v>
      </c>
      <c r="AE524" s="36">
        <f t="shared" si="337"/>
        <v>1207.3588937238035</v>
      </c>
      <c r="AG524" s="1">
        <f t="shared" si="313"/>
        <v>40500000000</v>
      </c>
      <c r="AH524" s="1">
        <f t="shared" si="330"/>
        <v>40500000</v>
      </c>
      <c r="AI524" s="1">
        <f t="shared" si="331"/>
        <v>40540500000</v>
      </c>
      <c r="AJ524" s="1">
        <f t="shared" si="332"/>
        <v>3053700000000</v>
      </c>
      <c r="AK524" s="1">
        <f t="shared" si="333"/>
        <v>3056753700000</v>
      </c>
      <c r="AL524" s="39">
        <f>+AJ524/('Volcano Summary'!C$8)*10^6</f>
        <v>211996.64262615188</v>
      </c>
      <c r="AM524" s="1">
        <f t="shared" si="314"/>
        <v>1207.3588937238035</v>
      </c>
    </row>
    <row r="525" spans="1:39" ht="12.75">
      <c r="A525" s="1">
        <f t="shared" si="324"/>
        <v>522448.4086784549</v>
      </c>
      <c r="B525" s="1">
        <f t="shared" si="325"/>
        <v>1213.3287214071927</v>
      </c>
      <c r="C525" s="1">
        <f t="shared" si="339"/>
        <v>89000</v>
      </c>
      <c r="D525" s="1">
        <f t="shared" si="315"/>
        <v>336.62786498064816</v>
      </c>
      <c r="E525" s="38">
        <f t="shared" si="307"/>
        <v>3554041954.118853</v>
      </c>
      <c r="F525" s="38">
        <f t="shared" si="308"/>
        <v>2285064284.963376</v>
      </c>
      <c r="G525" s="38">
        <f t="shared" si="309"/>
        <v>1016086615.8078988</v>
      </c>
      <c r="H525" s="18">
        <f t="shared" si="316"/>
        <v>0.0014853197017090183</v>
      </c>
      <c r="I525" s="50">
        <f t="shared" si="336"/>
        <v>0.022502393596430248</v>
      </c>
      <c r="J525" s="3">
        <f t="shared" si="317"/>
        <v>4.8423248544388695</v>
      </c>
      <c r="K525" s="12">
        <f t="shared" si="334"/>
        <v>0.7322739178675047</v>
      </c>
      <c r="L525" s="3">
        <f t="shared" si="318"/>
        <v>1157.0508910445494</v>
      </c>
      <c r="M525" s="12">
        <f t="shared" si="335"/>
        <v>0.7003734716520941</v>
      </c>
      <c r="N525" s="37">
        <f t="shared" si="319"/>
        <v>125896.65294386816</v>
      </c>
      <c r="O525" s="1">
        <f t="shared" si="310"/>
        <v>388982.9824565086</v>
      </c>
      <c r="P525">
        <f t="shared" si="320"/>
        <v>623.6850025906576</v>
      </c>
      <c r="Q525" s="1">
        <f t="shared" si="321"/>
        <v>78519.85431745154</v>
      </c>
      <c r="R525" s="1">
        <f>+Q525*1000/'Material Properties'!AE$35</f>
        <v>67337560.1885701</v>
      </c>
      <c r="S525" s="1">
        <f t="shared" si="322"/>
        <v>756.6017998715741</v>
      </c>
      <c r="T525" s="1">
        <f t="shared" si="323"/>
        <v>309.7727018872698</v>
      </c>
      <c r="U525">
        <f t="shared" si="311"/>
        <v>2.7610729709726998E-05</v>
      </c>
      <c r="V525">
        <f>+'Material Properties'!AE$31+'Material Properties'!AE$33</f>
        <v>0.00029034311030761144</v>
      </c>
      <c r="W525">
        <f t="shared" si="326"/>
        <v>0.00031795384001733845</v>
      </c>
      <c r="X525" s="1">
        <f>+'Volcano Summary'!E$12*10^9/Q525/3600/24/365</f>
        <v>0</v>
      </c>
      <c r="Y525" s="3">
        <f t="shared" si="327"/>
        <v>1000</v>
      </c>
      <c r="Z525" s="1">
        <f>+Y525*'Volcano Summary'!B$19*'Volcano Summary'!B$20/1000</f>
        <v>40500000</v>
      </c>
      <c r="AA525" s="1">
        <f t="shared" si="312"/>
        <v>515793.1118448168</v>
      </c>
      <c r="AB525" s="3">
        <f t="shared" si="338"/>
        <v>143.275864401338</v>
      </c>
      <c r="AC525" s="1">
        <f t="shared" si="328"/>
        <v>104831601.52958146</v>
      </c>
      <c r="AD525" s="36">
        <f t="shared" si="329"/>
        <v>29119.889313772623</v>
      </c>
      <c r="AE525" s="36">
        <f t="shared" si="337"/>
        <v>1213.3287214071927</v>
      </c>
      <c r="AG525" s="1">
        <f t="shared" si="313"/>
        <v>40500000000</v>
      </c>
      <c r="AH525" s="1">
        <f t="shared" si="330"/>
        <v>40500000</v>
      </c>
      <c r="AI525" s="1">
        <f t="shared" si="331"/>
        <v>40540500000</v>
      </c>
      <c r="AJ525" s="1">
        <f t="shared" si="332"/>
        <v>3094200000000</v>
      </c>
      <c r="AK525" s="1">
        <f t="shared" si="333"/>
        <v>3097294200000</v>
      </c>
      <c r="AL525" s="39">
        <f>+AJ525/('Volcano Summary'!C$8)*10^6</f>
        <v>214808.2691861804</v>
      </c>
      <c r="AM525" s="1">
        <f t="shared" si="314"/>
        <v>1213.3287214071927</v>
      </c>
    </row>
    <row r="526" spans="1:39" ht="12.75">
      <c r="A526" s="1">
        <f t="shared" si="324"/>
        <v>515793.1118448168</v>
      </c>
      <c r="B526" s="1">
        <f t="shared" si="325"/>
        <v>1219.2233517385419</v>
      </c>
      <c r="C526" s="1">
        <f t="shared" si="339"/>
        <v>90000</v>
      </c>
      <c r="D526" s="1">
        <f t="shared" si="315"/>
        <v>338.5137501286538</v>
      </c>
      <c r="E526" s="38">
        <f t="shared" si="307"/>
        <v>3573952709.091698</v>
      </c>
      <c r="F526" s="38">
        <f t="shared" si="308"/>
        <v>2297865865.716348</v>
      </c>
      <c r="G526" s="38">
        <f t="shared" si="309"/>
        <v>1021779022.3409989</v>
      </c>
      <c r="H526" s="18">
        <f t="shared" si="316"/>
        <v>0.0014770448757545967</v>
      </c>
      <c r="I526" s="50">
        <f t="shared" si="336"/>
        <v>0.02248310569202732</v>
      </c>
      <c r="J526" s="3">
        <f t="shared" si="317"/>
        <v>4.820855605345796</v>
      </c>
      <c r="K526" s="12">
        <f t="shared" si="334"/>
        <v>0.731221924661944</v>
      </c>
      <c r="L526" s="3">
        <f t="shared" si="318"/>
        <v>1155.3886583114602</v>
      </c>
      <c r="M526" s="12">
        <f t="shared" si="335"/>
        <v>0.6998796789229533</v>
      </c>
      <c r="N526" s="37">
        <f t="shared" si="319"/>
        <v>127311.22207806892</v>
      </c>
      <c r="O526" s="1">
        <f t="shared" si="310"/>
        <v>390153.9772558921</v>
      </c>
      <c r="P526">
        <f t="shared" si="320"/>
        <v>624.6230681426136</v>
      </c>
      <c r="Q526" s="1">
        <f t="shared" si="321"/>
        <v>79521.52614338906</v>
      </c>
      <c r="R526" s="1">
        <f>+Q526*1000/'Material Properties'!AE$35</f>
        <v>68196580.33646245</v>
      </c>
      <c r="S526" s="1">
        <f t="shared" si="322"/>
        <v>757.7397815162494</v>
      </c>
      <c r="T526" s="1">
        <f t="shared" si="323"/>
        <v>310.543139848373</v>
      </c>
      <c r="U526">
        <f t="shared" si="311"/>
        <v>2.7542427180050185E-05</v>
      </c>
      <c r="V526">
        <f>+'Material Properties'!AE$31+'Material Properties'!AE$33</f>
        <v>0.00029034311030761144</v>
      </c>
      <c r="W526">
        <f t="shared" si="326"/>
        <v>0.00031788553748766165</v>
      </c>
      <c r="X526" s="1">
        <f>+'Volcano Summary'!E$12*10^9/Q526/3600/24/365</f>
        <v>0</v>
      </c>
      <c r="Y526" s="3">
        <f t="shared" si="327"/>
        <v>1000</v>
      </c>
      <c r="Z526" s="1">
        <f>+Y526*'Volcano Summary'!B$19*'Volcano Summary'!B$20/1000</f>
        <v>40500000</v>
      </c>
      <c r="AA526" s="1">
        <f t="shared" si="312"/>
        <v>509296.06062857143</v>
      </c>
      <c r="AB526" s="3">
        <f t="shared" si="338"/>
        <v>141.47112795238095</v>
      </c>
      <c r="AC526" s="1">
        <f t="shared" si="328"/>
        <v>105340897.59021004</v>
      </c>
      <c r="AD526" s="36">
        <f t="shared" si="329"/>
        <v>29261.360441725003</v>
      </c>
      <c r="AE526" s="36">
        <f t="shared" si="337"/>
        <v>1219.2233517385419</v>
      </c>
      <c r="AG526" s="1">
        <f t="shared" si="313"/>
        <v>40500000000</v>
      </c>
      <c r="AH526" s="1">
        <f t="shared" si="330"/>
        <v>40500000</v>
      </c>
      <c r="AI526" s="1">
        <f t="shared" si="331"/>
        <v>40540500000</v>
      </c>
      <c r="AJ526" s="1">
        <f t="shared" si="332"/>
        <v>3134700000000</v>
      </c>
      <c r="AK526" s="1">
        <f t="shared" si="333"/>
        <v>3137834700000</v>
      </c>
      <c r="AL526" s="39">
        <f>+AJ526/('Volcano Summary'!C$8)*10^6</f>
        <v>217619.89574620893</v>
      </c>
      <c r="AM526" s="1">
        <f t="shared" si="314"/>
        <v>1219.2233517385419</v>
      </c>
    </row>
    <row r="527" spans="1:39" ht="12.75">
      <c r="A527" s="1">
        <f t="shared" si="324"/>
        <v>509296.06062857143</v>
      </c>
      <c r="B527" s="1">
        <f t="shared" si="325"/>
        <v>1225.0445531414427</v>
      </c>
      <c r="C527" s="1">
        <f t="shared" si="339"/>
        <v>91000</v>
      </c>
      <c r="D527" s="1">
        <f t="shared" si="315"/>
        <v>340.3891869182977</v>
      </c>
      <c r="E527" s="38">
        <f aca="true" t="shared" si="340" ref="E527:E590">+$D527*1000*A$7*$F$11/$F$10</f>
        <v>3593753152.62621</v>
      </c>
      <c r="F527" s="38">
        <f aca="true" t="shared" si="341" ref="F527:F590">+$D527*1000*C$7*$F$11/$F$10</f>
        <v>2310596521.9469852</v>
      </c>
      <c r="G527" s="38">
        <f aca="true" t="shared" si="342" ref="G527:G590">+$D527*1000*D$7*$F$11/$F$10</f>
        <v>1027439891.2677603</v>
      </c>
      <c r="H527" s="18">
        <f t="shared" si="316"/>
        <v>0.0014689068255273722</v>
      </c>
      <c r="I527" s="50">
        <f t="shared" si="336"/>
        <v>0.02246406340964032</v>
      </c>
      <c r="J527" s="3">
        <f t="shared" si="317"/>
        <v>4.799761607150036</v>
      </c>
      <c r="K527" s="12">
        <f t="shared" si="334"/>
        <v>0.7301883187503518</v>
      </c>
      <c r="L527" s="3">
        <f t="shared" si="318"/>
        <v>1153.7554789617443</v>
      </c>
      <c r="M527" s="12">
        <f t="shared" si="335"/>
        <v>0.6993945169644509</v>
      </c>
      <c r="N527" s="37">
        <f t="shared" si="319"/>
        <v>128725.79121226972</v>
      </c>
      <c r="O527" s="1">
        <f aca="true" t="shared" si="343" ref="O527:O590">+L527/J527/P$9</f>
        <v>391314.7074176648</v>
      </c>
      <c r="P527">
        <f t="shared" si="320"/>
        <v>625.5515225923959</v>
      </c>
      <c r="Q527" s="1">
        <f t="shared" si="321"/>
        <v>80524.61468974619</v>
      </c>
      <c r="R527" s="1">
        <f>+Q527*1000/'Material Properties'!AE$35</f>
        <v>69056815.44453722</v>
      </c>
      <c r="S527" s="1">
        <f t="shared" si="322"/>
        <v>758.8661037861233</v>
      </c>
      <c r="T527" s="1">
        <f t="shared" si="323"/>
        <v>311.29670552966127</v>
      </c>
      <c r="U527">
        <f aca="true" t="shared" si="344" ref="U527:U590">+I$3*0.1*0.9/(T527+0.9)</f>
        <v>2.7475946568516972E-05</v>
      </c>
      <c r="V527">
        <f>+'Material Properties'!AE$31+'Material Properties'!AE$33</f>
        <v>0.00029034311030761144</v>
      </c>
      <c r="W527">
        <f t="shared" si="326"/>
        <v>0.00031781905687612843</v>
      </c>
      <c r="X527" s="1">
        <f>+'Volcano Summary'!E$12*10^9/Q527/3600/24/365</f>
        <v>0</v>
      </c>
      <c r="Y527" s="3">
        <f t="shared" si="327"/>
        <v>1000</v>
      </c>
      <c r="Z527" s="1">
        <f>+Y527*'Volcano Summary'!B$19*'Volcano Summary'!B$20/1000</f>
        <v>40500000</v>
      </c>
      <c r="AA527" s="1">
        <f aca="true" t="shared" si="345" ref="AA527:AA590">Z527/(AA$12/100*Q527)</f>
        <v>502951.8012106325</v>
      </c>
      <c r="AB527" s="3">
        <f t="shared" si="338"/>
        <v>139.70883366962013</v>
      </c>
      <c r="AC527" s="1">
        <f t="shared" si="328"/>
        <v>105843849.39142066</v>
      </c>
      <c r="AD527" s="36">
        <f t="shared" si="329"/>
        <v>29401.069275394624</v>
      </c>
      <c r="AE527" s="36">
        <f t="shared" si="337"/>
        <v>1225.0445531414427</v>
      </c>
      <c r="AG527" s="1">
        <f aca="true" t="shared" si="346" ref="AG527:AG590">+AA527*Q527</f>
        <v>40500000000</v>
      </c>
      <c r="AH527" s="1">
        <f t="shared" si="330"/>
        <v>40500000</v>
      </c>
      <c r="AI527" s="1">
        <f t="shared" si="331"/>
        <v>40540500000</v>
      </c>
      <c r="AJ527" s="1">
        <f t="shared" si="332"/>
        <v>3175200000000</v>
      </c>
      <c r="AK527" s="1">
        <f t="shared" si="333"/>
        <v>3178375200000</v>
      </c>
      <c r="AL527" s="39">
        <f>+AJ527/('Volcano Summary'!C$8)*10^6</f>
        <v>220431.52230623746</v>
      </c>
      <c r="AM527" s="1">
        <f aca="true" t="shared" si="347" ref="AM527:AM590">+B527</f>
        <v>1225.0445531414427</v>
      </c>
    </row>
    <row r="528" spans="1:39" ht="12.75">
      <c r="A528" s="1">
        <f t="shared" si="324"/>
        <v>502951.8012106325</v>
      </c>
      <c r="B528" s="1">
        <f t="shared" si="325"/>
        <v>1230.7940337507528</v>
      </c>
      <c r="C528" s="1">
        <f t="shared" si="339"/>
        <v>92000</v>
      </c>
      <c r="D528" s="1">
        <f aca="true" t="shared" si="348" ref="D528:D591">2*SQRT(C528/PI())</f>
        <v>342.2543471099162</v>
      </c>
      <c r="E528" s="38">
        <f t="shared" si="340"/>
        <v>3613445098.129727</v>
      </c>
      <c r="F528" s="38">
        <f t="shared" si="341"/>
        <v>2323257419.581968</v>
      </c>
      <c r="G528" s="38">
        <f t="shared" si="342"/>
        <v>1033069741.0342082</v>
      </c>
      <c r="H528" s="18">
        <f aca="true" t="shared" si="349" ref="H528:H591">+(H$13/1000)/D528</f>
        <v>0.0014609018241028308</v>
      </c>
      <c r="I528" s="50">
        <f t="shared" si="336"/>
        <v>0.02244526094645321</v>
      </c>
      <c r="J528" s="3">
        <f aca="true" t="shared" si="350" ref="J528:J591">+J$13*I528/D528+1.5</f>
        <v>4.779032265913752</v>
      </c>
      <c r="K528" s="12">
        <f t="shared" si="334"/>
        <v>0.729172581029774</v>
      </c>
      <c r="L528" s="3">
        <f aca="true" t="shared" si="351" ref="L528:L591">+L$10*K528</f>
        <v>1152.1505327715472</v>
      </c>
      <c r="M528" s="12">
        <f t="shared" si="335"/>
        <v>0.6989177421160164</v>
      </c>
      <c r="N528" s="37">
        <f aca="true" t="shared" si="352" ref="N528:N591">1.111*10^-6*(D528*1000)^2</f>
        <v>130140.36034647046</v>
      </c>
      <c r="O528" s="1">
        <f t="shared" si="343"/>
        <v>392465.354199035</v>
      </c>
      <c r="P528">
        <f aca="true" t="shared" si="353" ref="P528:P591">+SQRT(O528)</f>
        <v>626.4705533375331</v>
      </c>
      <c r="Q528" s="1">
        <f aca="true" t="shared" si="354" ref="Q528:Q591">+P528*N528/1000</f>
        <v>81529.1035577993</v>
      </c>
      <c r="R528" s="1">
        <f>+Q528*1000/'Material Properties'!AE$35</f>
        <v>69918251.44947188</v>
      </c>
      <c r="S528" s="1">
        <f aca="true" t="shared" si="355" ref="S528:S591">+R528/C528</f>
        <v>759.9809940159987</v>
      </c>
      <c r="T528" s="1">
        <f aca="true" t="shared" si="356" ref="T528:T591">+L528-L528*K528</f>
        <v>312.0339550556889</v>
      </c>
      <c r="U528">
        <f t="shared" si="344"/>
        <v>2.741121524659572E-05</v>
      </c>
      <c r="V528">
        <f>+'Material Properties'!AE$31+'Material Properties'!AE$33</f>
        <v>0.00029034311030761144</v>
      </c>
      <c r="W528">
        <f t="shared" si="326"/>
        <v>0.00031775432555420713</v>
      </c>
      <c r="X528" s="1">
        <f>+'Volcano Summary'!E$12*10^9/Q528/3600/24/365</f>
        <v>0</v>
      </c>
      <c r="Y528" s="3">
        <f t="shared" si="327"/>
        <v>1000</v>
      </c>
      <c r="Z528" s="1">
        <f>+Y528*'Volcano Summary'!B$19*'Volcano Summary'!B$20/1000</f>
        <v>40500000</v>
      </c>
      <c r="AA528" s="1">
        <f t="shared" si="345"/>
        <v>496755.1246443903</v>
      </c>
      <c r="AB528" s="3">
        <f t="shared" si="338"/>
        <v>137.98753462344175</v>
      </c>
      <c r="AC528" s="1">
        <f t="shared" si="328"/>
        <v>106340604.51606505</v>
      </c>
      <c r="AD528" s="36">
        <f t="shared" si="329"/>
        <v>29539.056810018064</v>
      </c>
      <c r="AE528" s="36">
        <f t="shared" si="337"/>
        <v>1230.7940337507528</v>
      </c>
      <c r="AG528" s="1">
        <f t="shared" si="346"/>
        <v>40500000000</v>
      </c>
      <c r="AH528" s="1">
        <f t="shared" si="330"/>
        <v>40500000</v>
      </c>
      <c r="AI528" s="1">
        <f t="shared" si="331"/>
        <v>40540500000</v>
      </c>
      <c r="AJ528" s="1">
        <f t="shared" si="332"/>
        <v>3215700000000</v>
      </c>
      <c r="AK528" s="1">
        <f t="shared" si="333"/>
        <v>3218915700000</v>
      </c>
      <c r="AL528" s="39">
        <f>+AJ528/('Volcano Summary'!C$8)*10^6</f>
        <v>223243.14886626604</v>
      </c>
      <c r="AM528" s="1">
        <f t="shared" si="347"/>
        <v>1230.7940337507528</v>
      </c>
    </row>
    <row r="529" spans="1:39" ht="12.75">
      <c r="A529" s="1">
        <f t="shared" si="324"/>
        <v>496755.1246443903</v>
      </c>
      <c r="B529" s="1">
        <f t="shared" si="325"/>
        <v>1236.442152339707</v>
      </c>
      <c r="C529" s="1">
        <f t="shared" si="339"/>
        <v>93000</v>
      </c>
      <c r="D529" s="1">
        <f t="shared" si="348"/>
        <v>344.1093978088511</v>
      </c>
      <c r="E529" s="38">
        <f t="shared" si="340"/>
        <v>3633030309.863198</v>
      </c>
      <c r="F529" s="38">
        <f t="shared" si="341"/>
        <v>2335849692.9494033</v>
      </c>
      <c r="G529" s="38">
        <f t="shared" si="342"/>
        <v>1038669076.0356088</v>
      </c>
      <c r="H529" s="18">
        <f t="shared" si="349"/>
        <v>0.0014530262851982449</v>
      </c>
      <c r="I529" s="50">
        <v>0.0219</v>
      </c>
      <c r="J529" s="3">
        <f t="shared" si="350"/>
        <v>4.682127564584157</v>
      </c>
      <c r="K529" s="12">
        <f t="shared" si="334"/>
        <v>0.7244242506646238</v>
      </c>
      <c r="L529" s="3">
        <f t="shared" si="351"/>
        <v>1144.647794047805</v>
      </c>
      <c r="M529" s="12">
        <f t="shared" si="335"/>
        <v>0.6966889339854356</v>
      </c>
      <c r="N529" s="37">
        <f t="shared" si="352"/>
        <v>131554.9294806712</v>
      </c>
      <c r="O529" s="1">
        <f t="shared" si="343"/>
        <v>397979.49433750875</v>
      </c>
      <c r="P529">
        <f t="shared" si="353"/>
        <v>630.8561597840737</v>
      </c>
      <c r="Q529" s="1">
        <f t="shared" si="354"/>
        <v>82992.23761284088</v>
      </c>
      <c r="R529" s="1">
        <f>+Q529*1000/'Material Properties'!AE$35</f>
        <v>71173015.33501069</v>
      </c>
      <c r="S529" s="1">
        <f t="shared" si="355"/>
        <v>765.3012401614053</v>
      </c>
      <c r="T529" s="1">
        <f t="shared" si="356"/>
        <v>315.43717356980926</v>
      </c>
      <c r="U529">
        <f t="shared" si="344"/>
        <v>2.7116319916498938E-05</v>
      </c>
      <c r="V529">
        <f>+'Material Properties'!AE$31+'Material Properties'!AE$33</f>
        <v>0.00029034311030761144</v>
      </c>
      <c r="W529">
        <f t="shared" si="326"/>
        <v>0.0003174594302241104</v>
      </c>
      <c r="X529" s="1">
        <f>+'Volcano Summary'!E$12*10^9/Q529/3600/24/365</f>
        <v>0</v>
      </c>
      <c r="Y529" s="3">
        <f t="shared" si="327"/>
        <v>1000</v>
      </c>
      <c r="Z529" s="1">
        <f>+Y529*'Volcano Summary'!B$19*'Volcano Summary'!B$20/1000</f>
        <v>40500000</v>
      </c>
      <c r="AA529" s="1">
        <f t="shared" si="345"/>
        <v>487997.44608565274</v>
      </c>
      <c r="AB529" s="3">
        <f t="shared" si="338"/>
        <v>135.55484613490353</v>
      </c>
      <c r="AC529" s="1">
        <f t="shared" si="328"/>
        <v>106828601.9621507</v>
      </c>
      <c r="AD529" s="36">
        <f t="shared" si="329"/>
        <v>29674.611656152967</v>
      </c>
      <c r="AE529" s="36">
        <f t="shared" si="337"/>
        <v>1236.442152339707</v>
      </c>
      <c r="AG529" s="1">
        <f t="shared" si="346"/>
        <v>40500000000</v>
      </c>
      <c r="AH529" s="1">
        <f t="shared" si="330"/>
        <v>40500000</v>
      </c>
      <c r="AI529" s="1">
        <f t="shared" si="331"/>
        <v>40540500000</v>
      </c>
      <c r="AJ529" s="1">
        <f t="shared" si="332"/>
        <v>3256200000000</v>
      </c>
      <c r="AK529" s="1">
        <f t="shared" si="333"/>
        <v>3259456200000</v>
      </c>
      <c r="AL529" s="39">
        <f>+AJ529/('Volcano Summary'!C$8)*10^6</f>
        <v>226054.77542629457</v>
      </c>
      <c r="AM529" s="1">
        <f t="shared" si="347"/>
        <v>1236.442152339707</v>
      </c>
    </row>
    <row r="530" spans="1:39" ht="12.75">
      <c r="A530" s="1">
        <f t="shared" si="324"/>
        <v>487997.44608565274</v>
      </c>
      <c r="B530" s="1">
        <f t="shared" si="325"/>
        <v>1242.0221927089942</v>
      </c>
      <c r="C530" s="1">
        <f t="shared" si="339"/>
        <v>94000</v>
      </c>
      <c r="D530" s="1">
        <f t="shared" si="348"/>
        <v>345.95450164017996</v>
      </c>
      <c r="E530" s="38">
        <f t="shared" si="340"/>
        <v>3652510504.7859364</v>
      </c>
      <c r="F530" s="38">
        <f t="shared" si="341"/>
        <v>2348374445.964906</v>
      </c>
      <c r="G530" s="38">
        <f t="shared" si="342"/>
        <v>1044238387.1438764</v>
      </c>
      <c r="H530" s="18">
        <f t="shared" si="349"/>
        <v>0.0014452767564216856</v>
      </c>
      <c r="I530" s="50">
        <f>+I$529*LN(H$529)/LN(H530)</f>
        <v>0.02188209125596868</v>
      </c>
      <c r="J530" s="3">
        <f t="shared" si="350"/>
        <v>4.662567787414974</v>
      </c>
      <c r="K530" s="12">
        <f t="shared" si="334"/>
        <v>0.7234658215833338</v>
      </c>
      <c r="L530" s="3">
        <f t="shared" si="351"/>
        <v>1143.1334000547226</v>
      </c>
      <c r="M530" s="12">
        <f t="shared" si="335"/>
        <v>0.6962390591105445</v>
      </c>
      <c r="N530" s="37">
        <f t="shared" si="352"/>
        <v>132969.49861487196</v>
      </c>
      <c r="O530" s="1">
        <f t="shared" si="343"/>
        <v>399120.2999746803</v>
      </c>
      <c r="P530">
        <f t="shared" si="353"/>
        <v>631.7596853034232</v>
      </c>
      <c r="Q530" s="1">
        <f t="shared" si="354"/>
        <v>84004.76859988547</v>
      </c>
      <c r="R530" s="1">
        <f>+Q530*1000/'Material Properties'!AE$35</f>
        <v>72041348.15192162</v>
      </c>
      <c r="S530" s="1">
        <f t="shared" si="355"/>
        <v>766.3973207651236</v>
      </c>
      <c r="T530" s="1">
        <f t="shared" si="356"/>
        <v>316.11545560478294</v>
      </c>
      <c r="U530">
        <f t="shared" si="344"/>
        <v>2.7058302200552337E-05</v>
      </c>
      <c r="V530">
        <f>+'Material Properties'!AE$31+'Material Properties'!AE$33</f>
        <v>0.00029034311030761144</v>
      </c>
      <c r="W530">
        <f t="shared" si="326"/>
        <v>0.0003174014125081638</v>
      </c>
      <c r="X530" s="1">
        <f>+'Volcano Summary'!E$12*10^9/Q530/3600/24/365</f>
        <v>0</v>
      </c>
      <c r="Y530" s="3">
        <f t="shared" si="327"/>
        <v>1000</v>
      </c>
      <c r="Z530" s="1">
        <f>+Y530*'Volcano Summary'!B$19*'Volcano Summary'!B$20/1000</f>
        <v>40500000</v>
      </c>
      <c r="AA530" s="1">
        <f t="shared" si="345"/>
        <v>482115.4879064236</v>
      </c>
      <c r="AB530" s="3">
        <f t="shared" si="338"/>
        <v>133.92096886289545</v>
      </c>
      <c r="AC530" s="1">
        <f t="shared" si="328"/>
        <v>107310717.45005712</v>
      </c>
      <c r="AD530" s="36">
        <f t="shared" si="329"/>
        <v>29808.53262501586</v>
      </c>
      <c r="AE530" s="36">
        <f t="shared" si="337"/>
        <v>1242.0221927089942</v>
      </c>
      <c r="AG530" s="1">
        <f t="shared" si="346"/>
        <v>40499999999.99999</v>
      </c>
      <c r="AH530" s="1">
        <f t="shared" si="330"/>
        <v>40500000</v>
      </c>
      <c r="AI530" s="1">
        <f t="shared" si="331"/>
        <v>40540499999.99999</v>
      </c>
      <c r="AJ530" s="1">
        <f t="shared" si="332"/>
        <v>3296700000000</v>
      </c>
      <c r="AK530" s="1">
        <f t="shared" si="333"/>
        <v>3299996700000</v>
      </c>
      <c r="AL530" s="39">
        <f>+AJ530/('Volcano Summary'!C$8)*10^6</f>
        <v>228866.4019863231</v>
      </c>
      <c r="AM530" s="1">
        <f t="shared" si="347"/>
        <v>1242.0221927089942</v>
      </c>
    </row>
    <row r="531" spans="1:39" ht="12.75">
      <c r="A531" s="1">
        <f t="shared" si="324"/>
        <v>482115.4879064236</v>
      </c>
      <c r="B531" s="1">
        <f t="shared" si="325"/>
        <v>1247.5356888835015</v>
      </c>
      <c r="C531" s="1">
        <f t="shared" si="339"/>
        <v>95000</v>
      </c>
      <c r="D531" s="1">
        <f t="shared" si="348"/>
        <v>347.7898169151024</v>
      </c>
      <c r="E531" s="38">
        <f t="shared" si="340"/>
        <v>3671887354.312296</v>
      </c>
      <c r="F531" s="38">
        <f t="shared" si="341"/>
        <v>2360832753.2610483</v>
      </c>
      <c r="G531" s="38">
        <f t="shared" si="342"/>
        <v>1049778152.2098007</v>
      </c>
      <c r="H531" s="18">
        <f t="shared" si="349"/>
        <v>0.0014376499129129276</v>
      </c>
      <c r="I531" s="50">
        <f aca="true" t="shared" si="357" ref="I531:I583">+I$529*LN(H$529)/LN(H531)</f>
        <v>0.02186440082920357</v>
      </c>
      <c r="J531" s="3">
        <f t="shared" si="350"/>
        <v>4.643335394799785</v>
      </c>
      <c r="K531" s="12">
        <f t="shared" si="334"/>
        <v>0.7225234343451896</v>
      </c>
      <c r="L531" s="3">
        <f t="shared" si="351"/>
        <v>1141.6443534466184</v>
      </c>
      <c r="M531" s="12">
        <f t="shared" si="335"/>
        <v>0.6957967140803951</v>
      </c>
      <c r="N531" s="37">
        <f t="shared" si="352"/>
        <v>134384.06774907274</v>
      </c>
      <c r="O531" s="1">
        <f t="shared" si="343"/>
        <v>400251.3824126142</v>
      </c>
      <c r="P531">
        <f t="shared" si="353"/>
        <v>632.6542360662846</v>
      </c>
      <c r="Q531" s="1">
        <f t="shared" si="354"/>
        <v>85018.64972126945</v>
      </c>
      <c r="R531" s="1">
        <f>+Q531*1000/'Material Properties'!AE$35</f>
        <v>72910838.8256973</v>
      </c>
      <c r="S531" s="1">
        <f t="shared" si="355"/>
        <v>767.4825139547085</v>
      </c>
      <c r="T531" s="1">
        <f t="shared" si="356"/>
        <v>316.77955439357413</v>
      </c>
      <c r="U531">
        <f t="shared" si="344"/>
        <v>2.7001737698778106E-05</v>
      </c>
      <c r="V531">
        <f>+'Material Properties'!AE$31+'Material Properties'!AE$33</f>
        <v>0.00029034311030761144</v>
      </c>
      <c r="W531">
        <f t="shared" si="326"/>
        <v>0.00031734484800638956</v>
      </c>
      <c r="X531" s="1">
        <f>+'Volcano Summary'!E$12*10^9/Q531/3600/24/365</f>
        <v>0</v>
      </c>
      <c r="Y531" s="3">
        <f t="shared" si="327"/>
        <v>1000</v>
      </c>
      <c r="Z531" s="1">
        <f>+Y531*'Volcano Summary'!B$19*'Volcano Summary'!B$20/1000</f>
        <v>40500000</v>
      </c>
      <c r="AA531" s="1">
        <f t="shared" si="345"/>
        <v>476366.06947743555</v>
      </c>
      <c r="AB531" s="3">
        <f t="shared" si="338"/>
        <v>132.32390818817655</v>
      </c>
      <c r="AC531" s="1">
        <f t="shared" si="328"/>
        <v>107787083.51953456</v>
      </c>
      <c r="AD531" s="36">
        <f t="shared" si="329"/>
        <v>29940.856533204038</v>
      </c>
      <c r="AE531" s="36">
        <f t="shared" si="337"/>
        <v>1247.5356888835015</v>
      </c>
      <c r="AG531" s="1">
        <f t="shared" si="346"/>
        <v>40500000000</v>
      </c>
      <c r="AH531" s="1">
        <f t="shared" si="330"/>
        <v>40500000</v>
      </c>
      <c r="AI531" s="1">
        <f t="shared" si="331"/>
        <v>40540500000</v>
      </c>
      <c r="AJ531" s="1">
        <f t="shared" si="332"/>
        <v>3337200000000</v>
      </c>
      <c r="AK531" s="1">
        <f t="shared" si="333"/>
        <v>3340537200000</v>
      </c>
      <c r="AL531" s="39">
        <f>+AJ531/('Volcano Summary'!C$8)*10^6</f>
        <v>231678.02854635165</v>
      </c>
      <c r="AM531" s="1">
        <f t="shared" si="347"/>
        <v>1247.5356888835015</v>
      </c>
    </row>
    <row r="532" spans="1:39" ht="12.75">
      <c r="A532" s="1">
        <f aca="true" t="shared" si="358" ref="A532:A595">+AA531</f>
        <v>476366.06947743555</v>
      </c>
      <c r="B532" s="1">
        <f aca="true" t="shared" si="359" ref="B532:B595">+AE532</f>
        <v>1252.9841247473269</v>
      </c>
      <c r="C532" s="1">
        <f t="shared" si="339"/>
        <v>96000</v>
      </c>
      <c r="D532" s="1">
        <f t="shared" si="348"/>
        <v>349.61549778946534</v>
      </c>
      <c r="E532" s="38">
        <f t="shared" si="340"/>
        <v>3691162485.985341</v>
      </c>
      <c r="F532" s="38">
        <f t="shared" si="341"/>
        <v>2373225661.2634416</v>
      </c>
      <c r="G532" s="38">
        <f t="shared" si="342"/>
        <v>1055288836.5415429</v>
      </c>
      <c r="H532" s="18">
        <f t="shared" si="349"/>
        <v>0.0014301425513496388</v>
      </c>
      <c r="I532" s="50">
        <f t="shared" si="357"/>
        <v>0.021846923779106884</v>
      </c>
      <c r="J532" s="3">
        <f t="shared" si="350"/>
        <v>4.624421531259301</v>
      </c>
      <c r="K532" s="12">
        <f t="shared" si="334"/>
        <v>0.7215966550317059</v>
      </c>
      <c r="L532" s="3">
        <f t="shared" si="351"/>
        <v>1140.1799685978574</v>
      </c>
      <c r="M532" s="12">
        <f t="shared" si="335"/>
        <v>0.695361695218964</v>
      </c>
      <c r="N532" s="37">
        <f t="shared" si="352"/>
        <v>135798.63688327355</v>
      </c>
      <c r="O532" s="1">
        <f t="shared" si="343"/>
        <v>401372.9073604611</v>
      </c>
      <c r="P532">
        <f t="shared" si="353"/>
        <v>633.5399808697641</v>
      </c>
      <c r="Q532" s="1">
        <f t="shared" si="354"/>
        <v>86033.86581316916</v>
      </c>
      <c r="R532" s="1">
        <f>+Q532*1000/'Material Properties'!AE$35</f>
        <v>73781474.35204859</v>
      </c>
      <c r="S532" s="1">
        <f t="shared" si="355"/>
        <v>768.5570245005061</v>
      </c>
      <c r="T532" s="1">
        <f t="shared" si="356"/>
        <v>317.42991712348805</v>
      </c>
      <c r="U532">
        <f t="shared" si="344"/>
        <v>2.694657190097662E-05</v>
      </c>
      <c r="V532">
        <f>+'Material Properties'!AE$31+'Material Properties'!AE$33</f>
        <v>0.00029034311030761144</v>
      </c>
      <c r="W532">
        <f aca="true" t="shared" si="360" ref="W532:W595">+V532+U532</f>
        <v>0.0003172896822085881</v>
      </c>
      <c r="X532" s="1">
        <f>+'Volcano Summary'!E$12*10^9/Q532/3600/24/365</f>
        <v>0</v>
      </c>
      <c r="Y532" s="3">
        <f aca="true" t="shared" si="361" ref="Y532:Y595">+C533-C532</f>
        <v>1000</v>
      </c>
      <c r="Z532" s="1">
        <f>+Y532*'Volcano Summary'!B$19*'Volcano Summary'!B$20/1000</f>
        <v>40500000</v>
      </c>
      <c r="AA532" s="1">
        <f t="shared" si="345"/>
        <v>470744.8586345016</v>
      </c>
      <c r="AB532" s="3">
        <f t="shared" si="338"/>
        <v>130.762460731806</v>
      </c>
      <c r="AC532" s="1">
        <f aca="true" t="shared" si="362" ref="AC532:AC595">+AC531+AA532</f>
        <v>108257828.37816906</v>
      </c>
      <c r="AD532" s="36">
        <f aca="true" t="shared" si="363" ref="AD532:AD595">+AD531+AB532</f>
        <v>30071.618993935845</v>
      </c>
      <c r="AE532" s="36">
        <f t="shared" si="337"/>
        <v>1252.9841247473269</v>
      </c>
      <c r="AG532" s="1">
        <f t="shared" si="346"/>
        <v>40499999999.99999</v>
      </c>
      <c r="AH532" s="1">
        <f aca="true" t="shared" si="364" ref="AH532:AH595">+Z532</f>
        <v>40500000</v>
      </c>
      <c r="AI532" s="1">
        <f aca="true" t="shared" si="365" ref="AI532:AI595">+AH532+AG532</f>
        <v>40540499999.99999</v>
      </c>
      <c r="AJ532" s="1">
        <f aca="true" t="shared" si="366" ref="AJ532:AJ595">+AJ531+AG532</f>
        <v>3377700000000</v>
      </c>
      <c r="AK532" s="1">
        <f aca="true" t="shared" si="367" ref="AK532:AK595">+AK531+AI532</f>
        <v>3381077700000</v>
      </c>
      <c r="AL532" s="39">
        <f>+AJ532/('Volcano Summary'!C$8)*10^6</f>
        <v>234489.65510638017</v>
      </c>
      <c r="AM532" s="1">
        <f t="shared" si="347"/>
        <v>1252.9841247473269</v>
      </c>
    </row>
    <row r="533" spans="1:39" ht="12.75">
      <c r="A533" s="1">
        <f t="shared" si="358"/>
        <v>470744.8586345016</v>
      </c>
      <c r="B533" s="1">
        <f t="shared" si="359"/>
        <v>1258.3689361801394</v>
      </c>
      <c r="C533" s="1">
        <f t="shared" si="339"/>
        <v>97000</v>
      </c>
      <c r="D533" s="1">
        <f t="shared" si="348"/>
        <v>351.431694414876</v>
      </c>
      <c r="E533" s="38">
        <f t="shared" si="340"/>
        <v>3710337485.0722694</v>
      </c>
      <c r="F533" s="38">
        <f t="shared" si="341"/>
        <v>2385554189.216514</v>
      </c>
      <c r="G533" s="38">
        <f t="shared" si="342"/>
        <v>1060770893.3607588</v>
      </c>
      <c r="H533" s="18">
        <f t="shared" si="349"/>
        <v>0.0014227515842943138</v>
      </c>
      <c r="I533" s="50">
        <f t="shared" si="357"/>
        <v>0.021829655327189515</v>
      </c>
      <c r="J533" s="3">
        <f t="shared" si="350"/>
        <v>4.605817670135769</v>
      </c>
      <c r="K533" s="12">
        <f t="shared" si="334"/>
        <v>0.7206850658366528</v>
      </c>
      <c r="L533" s="3">
        <f t="shared" si="351"/>
        <v>1138.7395853414466</v>
      </c>
      <c r="M533" s="12">
        <f t="shared" si="335"/>
        <v>0.6949338064131227</v>
      </c>
      <c r="N533" s="37">
        <f t="shared" si="352"/>
        <v>137213.20601747427</v>
      </c>
      <c r="O533" s="1">
        <f t="shared" si="343"/>
        <v>402485.03616461926</v>
      </c>
      <c r="P533">
        <f t="shared" si="353"/>
        <v>634.417083758484</v>
      </c>
      <c r="Q533" s="1">
        <f t="shared" si="354"/>
        <v>87050.40201475807</v>
      </c>
      <c r="R533" s="1">
        <f>+Q533*1000/'Material Properties'!AE$35</f>
        <v>74653241.9865326</v>
      </c>
      <c r="S533" s="1">
        <f t="shared" si="355"/>
        <v>769.6210514075526</v>
      </c>
      <c r="T533" s="1">
        <f t="shared" si="356"/>
        <v>318.06697230884345</v>
      </c>
      <c r="U533">
        <f t="shared" si="344"/>
        <v>2.6892752995424083E-05</v>
      </c>
      <c r="V533">
        <f>+'Material Properties'!AE$31+'Material Properties'!AE$33</f>
        <v>0.00029034311030761144</v>
      </c>
      <c r="W533">
        <f t="shared" si="360"/>
        <v>0.0003172358633030355</v>
      </c>
      <c r="X533" s="1">
        <f>+'Volcano Summary'!E$12*10^9/Q533/3600/24/365</f>
        <v>0</v>
      </c>
      <c r="Y533" s="3">
        <f t="shared" si="361"/>
        <v>1000</v>
      </c>
      <c r="Z533" s="1">
        <f>+Y533*'Volcano Summary'!B$19*'Volcano Summary'!B$20/1000</f>
        <v>40500000</v>
      </c>
      <c r="AA533" s="1">
        <f t="shared" si="345"/>
        <v>465247.7077950064</v>
      </c>
      <c r="AB533" s="3">
        <f t="shared" si="338"/>
        <v>129.23547438750177</v>
      </c>
      <c r="AC533" s="1">
        <f t="shared" si="362"/>
        <v>108723076.08596407</v>
      </c>
      <c r="AD533" s="36">
        <f t="shared" si="363"/>
        <v>30200.854468323345</v>
      </c>
      <c r="AE533" s="36">
        <f t="shared" si="337"/>
        <v>1258.3689361801394</v>
      </c>
      <c r="AG533" s="1">
        <f t="shared" si="346"/>
        <v>40500000000</v>
      </c>
      <c r="AH533" s="1">
        <f t="shared" si="364"/>
        <v>40500000</v>
      </c>
      <c r="AI533" s="1">
        <f t="shared" si="365"/>
        <v>40540500000</v>
      </c>
      <c r="AJ533" s="1">
        <f t="shared" si="366"/>
        <v>3418200000000</v>
      </c>
      <c r="AK533" s="1">
        <f t="shared" si="367"/>
        <v>3421618200000</v>
      </c>
      <c r="AL533" s="39">
        <f>+AJ533/('Volcano Summary'!C$8)*10^6</f>
        <v>237301.2816664087</v>
      </c>
      <c r="AM533" s="1">
        <f t="shared" si="347"/>
        <v>1258.3689361801394</v>
      </c>
    </row>
    <row r="534" spans="1:39" ht="12.75">
      <c r="A534" s="1">
        <f t="shared" si="358"/>
        <v>465247.7077950064</v>
      </c>
      <c r="B534" s="1">
        <f t="shared" si="359"/>
        <v>1263.6915130817608</v>
      </c>
      <c r="C534" s="1">
        <f t="shared" si="339"/>
        <v>98000</v>
      </c>
      <c r="D534" s="1">
        <f t="shared" si="348"/>
        <v>353.2385530828224</v>
      </c>
      <c r="E534" s="38">
        <f t="shared" si="340"/>
        <v>3729413896.0859985</v>
      </c>
      <c r="F534" s="38">
        <f t="shared" si="341"/>
        <v>2397819330.161807</v>
      </c>
      <c r="G534" s="38">
        <f t="shared" si="342"/>
        <v>1066224764.2376168</v>
      </c>
      <c r="H534" s="18">
        <f t="shared" si="349"/>
        <v>0.0014154740348592896</v>
      </c>
      <c r="I534" s="50">
        <f t="shared" si="357"/>
        <v>0.02181259085013808</v>
      </c>
      <c r="J534" s="3">
        <f t="shared" si="350"/>
        <v>4.587515598137977</v>
      </c>
      <c r="K534" s="12">
        <f t="shared" si="334"/>
        <v>0.719788264308761</v>
      </c>
      <c r="L534" s="3">
        <f t="shared" si="351"/>
        <v>1137.3225677724483</v>
      </c>
      <c r="M534" s="12">
        <f t="shared" si="335"/>
        <v>0.6945128587571735</v>
      </c>
      <c r="N534" s="37">
        <f t="shared" si="352"/>
        <v>138627.77515167504</v>
      </c>
      <c r="O534" s="1">
        <f t="shared" si="343"/>
        <v>403587.9259651268</v>
      </c>
      <c r="P534">
        <f t="shared" si="353"/>
        <v>635.2857042033346</v>
      </c>
      <c r="Q534" s="1">
        <f t="shared" si="354"/>
        <v>88068.2437593734</v>
      </c>
      <c r="R534" s="1">
        <f>+Q534*1000/'Material Properties'!AE$35</f>
        <v>75526129.23697725</v>
      </c>
      <c r="S534" s="1">
        <f t="shared" si="355"/>
        <v>770.6747881324209</v>
      </c>
      <c r="T534" s="1">
        <f t="shared" si="356"/>
        <v>318.6911307563346</v>
      </c>
      <c r="U534">
        <f t="shared" si="344"/>
        <v>2.684023170386426E-05</v>
      </c>
      <c r="V534">
        <f>+'Material Properties'!AE$31+'Material Properties'!AE$33</f>
        <v>0.00029034311030761144</v>
      </c>
      <c r="W534">
        <f t="shared" si="360"/>
        <v>0.0003171833420114757</v>
      </c>
      <c r="X534" s="1">
        <f>+'Volcano Summary'!E$12*10^9/Q534/3600/24/365</f>
        <v>0</v>
      </c>
      <c r="Y534" s="3">
        <f t="shared" si="361"/>
        <v>1000</v>
      </c>
      <c r="Z534" s="1">
        <f>+Y534*'Volcano Summary'!B$19*'Volcano Summary'!B$20/1000</f>
        <v>40500000</v>
      </c>
      <c r="AA534" s="1">
        <f t="shared" si="345"/>
        <v>459870.64430008514</v>
      </c>
      <c r="AB534" s="3">
        <f t="shared" si="338"/>
        <v>127.74184563891254</v>
      </c>
      <c r="AC534" s="1">
        <f t="shared" si="362"/>
        <v>109182946.73026416</v>
      </c>
      <c r="AD534" s="36">
        <f t="shared" si="363"/>
        <v>30328.596313962258</v>
      </c>
      <c r="AE534" s="36">
        <f t="shared" si="337"/>
        <v>1263.6915130817608</v>
      </c>
      <c r="AG534" s="1">
        <f t="shared" si="346"/>
        <v>40500000000</v>
      </c>
      <c r="AH534" s="1">
        <f t="shared" si="364"/>
        <v>40500000</v>
      </c>
      <c r="AI534" s="1">
        <f t="shared" si="365"/>
        <v>40540500000</v>
      </c>
      <c r="AJ534" s="1">
        <f t="shared" si="366"/>
        <v>3458700000000</v>
      </c>
      <c r="AK534" s="1">
        <f t="shared" si="367"/>
        <v>3462158700000</v>
      </c>
      <c r="AL534" s="39">
        <f>+AJ534/('Volcano Summary'!C$8)*10^6</f>
        <v>240112.90822643728</v>
      </c>
      <c r="AM534" s="1">
        <f t="shared" si="347"/>
        <v>1263.6915130817608</v>
      </c>
    </row>
    <row r="535" spans="1:39" ht="12.75">
      <c r="A535" s="1">
        <f t="shared" si="358"/>
        <v>459870.64430008514</v>
      </c>
      <c r="B535" s="1">
        <f t="shared" si="359"/>
        <v>1268.9532012918773</v>
      </c>
      <c r="C535" s="1">
        <f t="shared" si="339"/>
        <v>99000</v>
      </c>
      <c r="D535" s="1">
        <f t="shared" si="348"/>
        <v>355.03621636219185</v>
      </c>
      <c r="E535" s="38">
        <f t="shared" si="340"/>
        <v>3748393224.2370563</v>
      </c>
      <c r="F535" s="38">
        <f t="shared" si="341"/>
        <v>2410022051.8714714</v>
      </c>
      <c r="G535" s="38">
        <f t="shared" si="342"/>
        <v>1071650879.5058866</v>
      </c>
      <c r="H535" s="18">
        <f t="shared" si="349"/>
        <v>0.001408307031668912</v>
      </c>
      <c r="I535" s="50">
        <f t="shared" si="357"/>
        <v>0.02179572587324608</v>
      </c>
      <c r="J535" s="3">
        <f t="shared" si="350"/>
        <v>4.569507400762049</v>
      </c>
      <c r="K535" s="12">
        <f t="shared" si="334"/>
        <v>0.7189058626373405</v>
      </c>
      <c r="L535" s="3">
        <f t="shared" si="351"/>
        <v>1135.9283031192028</v>
      </c>
      <c r="M535" s="12">
        <f t="shared" si="335"/>
        <v>0.6940986702175271</v>
      </c>
      <c r="N535" s="37">
        <f t="shared" si="352"/>
        <v>140042.3442858758</v>
      </c>
      <c r="O535" s="1">
        <f t="shared" si="343"/>
        <v>404681.7298449572</v>
      </c>
      <c r="P535">
        <f t="shared" si="353"/>
        <v>636.145997271819</v>
      </c>
      <c r="Q535" s="1">
        <f t="shared" si="354"/>
        <v>89087.37676602189</v>
      </c>
      <c r="R535" s="1">
        <f>+Q535*1000/'Material Properties'!AE$35</f>
        <v>76400123.85619673</v>
      </c>
      <c r="S535" s="1">
        <f t="shared" si="355"/>
        <v>771.7184227898659</v>
      </c>
      <c r="T535" s="1">
        <f t="shared" si="356"/>
        <v>319.302786471122</v>
      </c>
      <c r="U535">
        <f t="shared" si="344"/>
        <v>2.6788961128461675E-05</v>
      </c>
      <c r="V535">
        <f>+'Material Properties'!AE$31+'Material Properties'!AE$33</f>
        <v>0.00029034311030761144</v>
      </c>
      <c r="W535">
        <f t="shared" si="360"/>
        <v>0.0003171320714360731</v>
      </c>
      <c r="X535" s="1">
        <f>+'Volcano Summary'!E$12*10^9/Q535/3600/24/365</f>
        <v>0</v>
      </c>
      <c r="Y535" s="3">
        <f t="shared" si="361"/>
        <v>1000</v>
      </c>
      <c r="Z535" s="1">
        <f>+Y535*'Volcano Summary'!B$19*'Volcano Summary'!B$20/1000</f>
        <v>40500000</v>
      </c>
      <c r="AA535" s="1">
        <f t="shared" si="345"/>
        <v>454609.86135408113</v>
      </c>
      <c r="AB535" s="3">
        <f t="shared" si="338"/>
        <v>126.28051704280031</v>
      </c>
      <c r="AC535" s="1">
        <f t="shared" si="362"/>
        <v>109637556.59161824</v>
      </c>
      <c r="AD535" s="36">
        <f t="shared" si="363"/>
        <v>30454.87683100506</v>
      </c>
      <c r="AE535" s="36">
        <f t="shared" si="337"/>
        <v>1268.9532012918773</v>
      </c>
      <c r="AG535" s="1">
        <f t="shared" si="346"/>
        <v>40500000000</v>
      </c>
      <c r="AH535" s="1">
        <f t="shared" si="364"/>
        <v>40500000</v>
      </c>
      <c r="AI535" s="1">
        <f t="shared" si="365"/>
        <v>40540500000</v>
      </c>
      <c r="AJ535" s="1">
        <f t="shared" si="366"/>
        <v>3499200000000</v>
      </c>
      <c r="AK535" s="1">
        <f t="shared" si="367"/>
        <v>3502699200000</v>
      </c>
      <c r="AL535" s="39">
        <f>+AJ535/('Volcano Summary'!C$8)*10^6</f>
        <v>242924.5347864658</v>
      </c>
      <c r="AM535" s="1">
        <f t="shared" si="347"/>
        <v>1268.9532012918773</v>
      </c>
    </row>
    <row r="536" spans="1:39" ht="12.75">
      <c r="A536" s="1">
        <f t="shared" si="358"/>
        <v>454609.86135408113</v>
      </c>
      <c r="B536" s="1">
        <f t="shared" si="359"/>
        <v>1279.3574075307376</v>
      </c>
      <c r="C536" s="1">
        <f t="shared" si="339"/>
        <v>100000</v>
      </c>
      <c r="D536" s="1">
        <f t="shared" si="348"/>
        <v>356.8248232305542</v>
      </c>
      <c r="E536" s="38">
        <f t="shared" si="340"/>
        <v>3767276936.8196454</v>
      </c>
      <c r="F536" s="38">
        <f t="shared" si="341"/>
        <v>2422163297.7394276</v>
      </c>
      <c r="G536" s="38">
        <f t="shared" si="342"/>
        <v>1077049658.6592095</v>
      </c>
      <c r="H536" s="18">
        <f t="shared" si="349"/>
        <v>0.0014012478040994823</v>
      </c>
      <c r="I536" s="50">
        <f t="shared" si="357"/>
        <v>0.02177905606418649</v>
      </c>
      <c r="J536" s="3">
        <f t="shared" si="350"/>
        <v>4.551785448530083</v>
      </c>
      <c r="K536" s="12">
        <f t="shared" si="334"/>
        <v>0.7180374869779742</v>
      </c>
      <c r="L536" s="3">
        <f t="shared" si="351"/>
        <v>1134.556200677869</v>
      </c>
      <c r="M536" s="12">
        <f t="shared" si="335"/>
        <v>0.693691065316192</v>
      </c>
      <c r="N536" s="37">
        <f t="shared" si="352"/>
        <v>141456.9134200766</v>
      </c>
      <c r="O536" s="1">
        <f t="shared" si="343"/>
        <v>405766.5969726073</v>
      </c>
      <c r="P536">
        <f t="shared" si="353"/>
        <v>636.9981137904628</v>
      </c>
      <c r="Q536" s="1">
        <f t="shared" si="354"/>
        <v>90107.78703120959</v>
      </c>
      <c r="R536" s="1">
        <f>+Q536*1000/'Material Properties'!AE$35</f>
        <v>77275213.83498493</v>
      </c>
      <c r="S536" s="1">
        <f t="shared" si="355"/>
        <v>772.7521383498492</v>
      </c>
      <c r="T536" s="1">
        <f t="shared" si="356"/>
        <v>319.9023175078537</v>
      </c>
      <c r="U536">
        <f t="shared" si="344"/>
        <v>2.6738896609716672E-05</v>
      </c>
      <c r="V536">
        <f>+'Material Properties'!AE$31+'Material Properties'!AE$33</f>
        <v>0.00029034311030761144</v>
      </c>
      <c r="W536">
        <f t="shared" si="360"/>
        <v>0.0003170820069173281</v>
      </c>
      <c r="X536" s="1">
        <f>+'Volcano Summary'!E$12*10^9/Q536/3600/24/365</f>
        <v>0</v>
      </c>
      <c r="Y536" s="3">
        <f t="shared" si="361"/>
        <v>2000</v>
      </c>
      <c r="Z536" s="1">
        <f>+Y536*'Volcano Summary'!B$19*'Volcano Summary'!B$20/1000</f>
        <v>81000000</v>
      </c>
      <c r="AA536" s="1">
        <f t="shared" si="345"/>
        <v>898923.419037524</v>
      </c>
      <c r="AB536" s="3">
        <f t="shared" si="338"/>
        <v>249.70094973264557</v>
      </c>
      <c r="AC536" s="1">
        <f t="shared" si="362"/>
        <v>110536480.01065576</v>
      </c>
      <c r="AD536" s="36">
        <f t="shared" si="363"/>
        <v>30704.577780737705</v>
      </c>
      <c r="AE536" s="36">
        <f t="shared" si="337"/>
        <v>1279.3574075307376</v>
      </c>
      <c r="AG536" s="1">
        <f t="shared" si="346"/>
        <v>81000000000</v>
      </c>
      <c r="AH536" s="1">
        <f t="shared" si="364"/>
        <v>81000000</v>
      </c>
      <c r="AI536" s="1">
        <f t="shared" si="365"/>
        <v>81081000000</v>
      </c>
      <c r="AJ536" s="1">
        <f t="shared" si="366"/>
        <v>3580200000000</v>
      </c>
      <c r="AK536" s="1">
        <f t="shared" si="367"/>
        <v>3583780200000</v>
      </c>
      <c r="AL536" s="39">
        <f>+AJ536/('Volcano Summary'!C$8)*10^6</f>
        <v>248547.78790652286</v>
      </c>
      <c r="AM536" s="1">
        <f t="shared" si="347"/>
        <v>1279.3574075307376</v>
      </c>
    </row>
    <row r="537" spans="1:39" ht="12.75">
      <c r="A537" s="1">
        <f t="shared" si="358"/>
        <v>898923.419037524</v>
      </c>
      <c r="B537" s="1">
        <f t="shared" si="359"/>
        <v>1289.5307742148432</v>
      </c>
      <c r="C537" s="1">
        <f t="shared" si="339"/>
        <v>102000</v>
      </c>
      <c r="D537" s="1">
        <f t="shared" si="348"/>
        <v>360.3754064347158</v>
      </c>
      <c r="E537" s="38">
        <f t="shared" si="340"/>
        <v>3804763202.758757</v>
      </c>
      <c r="F537" s="38">
        <f t="shared" si="341"/>
        <v>2446265018.703872</v>
      </c>
      <c r="G537" s="38">
        <f t="shared" si="342"/>
        <v>1087766834.6489875</v>
      </c>
      <c r="H537" s="18">
        <f t="shared" si="349"/>
        <v>0.0013874420703305626</v>
      </c>
      <c r="I537" s="50">
        <f t="shared" si="357"/>
        <v>0.02174628529701329</v>
      </c>
      <c r="J537" s="3">
        <f t="shared" si="350"/>
        <v>4.51717110944872</v>
      </c>
      <c r="K537" s="12">
        <f t="shared" si="334"/>
        <v>0.7163413843629873</v>
      </c>
      <c r="L537" s="3">
        <f t="shared" si="351"/>
        <v>1131.8762239723096</v>
      </c>
      <c r="M537" s="12">
        <f t="shared" si="335"/>
        <v>0.6928949355173206</v>
      </c>
      <c r="N537" s="37">
        <f t="shared" si="352"/>
        <v>144286.0516884781</v>
      </c>
      <c r="O537" s="1">
        <f t="shared" si="343"/>
        <v>407910.09888443537</v>
      </c>
      <c r="P537">
        <f t="shared" si="353"/>
        <v>638.678400201882</v>
      </c>
      <c r="Q537" s="1">
        <f t="shared" si="354"/>
        <v>92152.38466384324</v>
      </c>
      <c r="R537" s="1">
        <f>+Q537*1000/'Material Properties'!AE$35</f>
        <v>79028632.98413734</v>
      </c>
      <c r="S537" s="1">
        <f t="shared" si="355"/>
        <v>774.7905194523269</v>
      </c>
      <c r="T537" s="1">
        <f t="shared" si="356"/>
        <v>321.06644276443467</v>
      </c>
      <c r="U537">
        <f t="shared" si="344"/>
        <v>2.6642217512947405E-05</v>
      </c>
      <c r="V537">
        <f>+'Material Properties'!AE$31+'Material Properties'!AE$33</f>
        <v>0.00029034311030761144</v>
      </c>
      <c r="W537">
        <f t="shared" si="360"/>
        <v>0.0003169853278205588</v>
      </c>
      <c r="X537" s="1">
        <f>+'Volcano Summary'!E$12*10^9/Q537/3600/24/365</f>
        <v>0</v>
      </c>
      <c r="Y537" s="3">
        <f t="shared" si="361"/>
        <v>2000</v>
      </c>
      <c r="Z537" s="1">
        <f>+Y537*'Volcano Summary'!B$19*'Volcano Summary'!B$20/1000</f>
        <v>81000000</v>
      </c>
      <c r="AA537" s="1">
        <f t="shared" si="345"/>
        <v>878978.8815066988</v>
      </c>
      <c r="AB537" s="3">
        <f t="shared" si="338"/>
        <v>244.16080041852743</v>
      </c>
      <c r="AC537" s="1">
        <f t="shared" si="362"/>
        <v>111415458.89216246</v>
      </c>
      <c r="AD537" s="36">
        <f t="shared" si="363"/>
        <v>30948.738581156234</v>
      </c>
      <c r="AE537" s="36">
        <f t="shared" si="337"/>
        <v>1289.5307742148432</v>
      </c>
      <c r="AG537" s="1">
        <f t="shared" si="346"/>
        <v>81000000000</v>
      </c>
      <c r="AH537" s="1">
        <f t="shared" si="364"/>
        <v>81000000</v>
      </c>
      <c r="AI537" s="1">
        <f t="shared" si="365"/>
        <v>81081000000</v>
      </c>
      <c r="AJ537" s="1">
        <f t="shared" si="366"/>
        <v>3661200000000</v>
      </c>
      <c r="AK537" s="1">
        <f t="shared" si="367"/>
        <v>3664861200000</v>
      </c>
      <c r="AL537" s="39">
        <f>+AJ537/('Volcano Summary'!C$8)*10^6</f>
        <v>254171.04102657994</v>
      </c>
      <c r="AM537" s="1">
        <f t="shared" si="347"/>
        <v>1289.5307742148432</v>
      </c>
    </row>
    <row r="538" spans="1:39" ht="12.75">
      <c r="A538" s="1">
        <f t="shared" si="358"/>
        <v>878978.8815066988</v>
      </c>
      <c r="B538" s="1">
        <f t="shared" si="359"/>
        <v>1299.4827996257538</v>
      </c>
      <c r="C538" s="1">
        <f t="shared" si="339"/>
        <v>104000</v>
      </c>
      <c r="D538" s="1">
        <f t="shared" si="348"/>
        <v>363.8913473173784</v>
      </c>
      <c r="E538" s="38">
        <f t="shared" si="340"/>
        <v>3841883722.790284</v>
      </c>
      <c r="F538" s="38">
        <f t="shared" si="341"/>
        <v>2470131584.056318</v>
      </c>
      <c r="G538" s="38">
        <f t="shared" si="342"/>
        <v>1098379445.3223515</v>
      </c>
      <c r="H538" s="18">
        <f t="shared" si="349"/>
        <v>0.0013740365185542884</v>
      </c>
      <c r="I538" s="50">
        <f t="shared" si="357"/>
        <v>0.021714246520510138</v>
      </c>
      <c r="J538" s="3">
        <f t="shared" si="350"/>
        <v>4.483616769207131</v>
      </c>
      <c r="K538" s="12">
        <f t="shared" si="334"/>
        <v>0.7146972216911496</v>
      </c>
      <c r="L538" s="3">
        <f t="shared" si="351"/>
        <v>1129.2783164979971</v>
      </c>
      <c r="M538" s="12">
        <f t="shared" si="335"/>
        <v>0.6921231856917641</v>
      </c>
      <c r="N538" s="37">
        <f t="shared" si="352"/>
        <v>147115.18995687962</v>
      </c>
      <c r="O538" s="1">
        <f t="shared" si="343"/>
        <v>410019.55178881576</v>
      </c>
      <c r="P538">
        <f t="shared" si="353"/>
        <v>640.3276909433292</v>
      </c>
      <c r="Q538" s="1">
        <f t="shared" si="354"/>
        <v>94201.92988777798</v>
      </c>
      <c r="R538" s="1">
        <f>+Q538*1000/'Material Properties'!AE$35</f>
        <v>80786295.12036507</v>
      </c>
      <c r="S538" s="1">
        <f t="shared" si="355"/>
        <v>776.7912992342794</v>
      </c>
      <c r="T538" s="1">
        <f t="shared" si="356"/>
        <v>322.18624118081993</v>
      </c>
      <c r="U538">
        <f t="shared" si="344"/>
        <v>2.654987711222049E-05</v>
      </c>
      <c r="V538">
        <f>+'Material Properties'!AE$31+'Material Properties'!AE$33</f>
        <v>0.00029034311030761144</v>
      </c>
      <c r="W538">
        <f t="shared" si="360"/>
        <v>0.0003168929874198319</v>
      </c>
      <c r="X538" s="1">
        <f>+'Volcano Summary'!E$12*10^9/Q538/3600/24/365</f>
        <v>0</v>
      </c>
      <c r="Y538" s="3">
        <f t="shared" si="361"/>
        <v>2000</v>
      </c>
      <c r="Z538" s="1">
        <f>+Y538*'Volcano Summary'!B$19*'Volcano Summary'!B$20/1000</f>
        <v>81000000</v>
      </c>
      <c r="AA538" s="1">
        <f t="shared" si="345"/>
        <v>859854.9955026894</v>
      </c>
      <c r="AB538" s="3">
        <f t="shared" si="338"/>
        <v>238.84860986185817</v>
      </c>
      <c r="AC538" s="1">
        <f t="shared" si="362"/>
        <v>112275313.88766515</v>
      </c>
      <c r="AD538" s="36">
        <f t="shared" si="363"/>
        <v>31187.587191018094</v>
      </c>
      <c r="AE538" s="36">
        <f t="shared" si="337"/>
        <v>1299.4827996257538</v>
      </c>
      <c r="AG538" s="1">
        <f t="shared" si="346"/>
        <v>81000000000</v>
      </c>
      <c r="AH538" s="1">
        <f t="shared" si="364"/>
        <v>81000000</v>
      </c>
      <c r="AI538" s="1">
        <f t="shared" si="365"/>
        <v>81081000000</v>
      </c>
      <c r="AJ538" s="1">
        <f t="shared" si="366"/>
        <v>3742200000000</v>
      </c>
      <c r="AK538" s="1">
        <f t="shared" si="367"/>
        <v>3745942200000</v>
      </c>
      <c r="AL538" s="39">
        <f>+AJ538/('Volcano Summary'!C$8)*10^6</f>
        <v>259794.29414663702</v>
      </c>
      <c r="AM538" s="1">
        <f t="shared" si="347"/>
        <v>1299.4827996257538</v>
      </c>
    </row>
    <row r="539" spans="1:39" ht="12.75">
      <c r="A539" s="1">
        <f t="shared" si="358"/>
        <v>859854.9955026894</v>
      </c>
      <c r="B539" s="1">
        <f t="shared" si="359"/>
        <v>1309.222419849931</v>
      </c>
      <c r="C539" s="1">
        <f t="shared" si="339"/>
        <v>106000</v>
      </c>
      <c r="D539" s="1">
        <f t="shared" si="348"/>
        <v>367.37364051048525</v>
      </c>
      <c r="E539" s="38">
        <f t="shared" si="340"/>
        <v>3878648998.016552</v>
      </c>
      <c r="F539" s="38">
        <f t="shared" si="341"/>
        <v>2493769745.4598513</v>
      </c>
      <c r="G539" s="38">
        <f t="shared" si="342"/>
        <v>1108890492.9031515</v>
      </c>
      <c r="H539" s="18">
        <f t="shared" si="349"/>
        <v>0.0013610121817809883</v>
      </c>
      <c r="I539" s="50">
        <f t="shared" si="357"/>
        <v>0.02168290963635642</v>
      </c>
      <c r="J539" s="3">
        <f t="shared" si="350"/>
        <v>4.4510704151537475</v>
      </c>
      <c r="K539" s="12">
        <f t="shared" si="334"/>
        <v>0.7131024503425337</v>
      </c>
      <c r="L539" s="3">
        <f t="shared" si="351"/>
        <v>1126.7584512332314</v>
      </c>
      <c r="M539" s="12">
        <f t="shared" si="335"/>
        <v>0.6913746195485363</v>
      </c>
      <c r="N539" s="37">
        <f t="shared" si="352"/>
        <v>149944.32822528115</v>
      </c>
      <c r="O539" s="1">
        <f t="shared" si="343"/>
        <v>412096.02126502374</v>
      </c>
      <c r="P539">
        <f t="shared" si="353"/>
        <v>641.9470548768206</v>
      </c>
      <c r="Q539" s="1">
        <f t="shared" si="354"/>
        <v>96256.31989970256</v>
      </c>
      <c r="R539" s="1">
        <f>+Q539*1000/'Material Properties'!AE$35</f>
        <v>82548112.08094521</v>
      </c>
      <c r="S539" s="1">
        <f t="shared" si="355"/>
        <v>778.7557743485397</v>
      </c>
      <c r="T539" s="1">
        <f t="shared" si="356"/>
        <v>323.2642387146558</v>
      </c>
      <c r="U539">
        <f t="shared" si="344"/>
        <v>2.646158636749151E-05</v>
      </c>
      <c r="V539">
        <f>+'Material Properties'!AE$31+'Material Properties'!AE$33</f>
        <v>0.00029034311030761144</v>
      </c>
      <c r="W539">
        <f t="shared" si="360"/>
        <v>0.000316804696675103</v>
      </c>
      <c r="X539" s="1">
        <f>+'Volcano Summary'!E$12*10^9/Q539/3600/24/365</f>
        <v>0</v>
      </c>
      <c r="Y539" s="3">
        <f t="shared" si="361"/>
        <v>2000</v>
      </c>
      <c r="Z539" s="1">
        <f>+Y539*'Volcano Summary'!B$19*'Volcano Summary'!B$20/1000</f>
        <v>81000000</v>
      </c>
      <c r="AA539" s="1">
        <f t="shared" si="345"/>
        <v>841503.1873688981</v>
      </c>
      <c r="AB539" s="3">
        <f t="shared" si="338"/>
        <v>233.75088538024946</v>
      </c>
      <c r="AC539" s="1">
        <f t="shared" si="362"/>
        <v>113116817.07503405</v>
      </c>
      <c r="AD539" s="36">
        <f t="shared" si="363"/>
        <v>31421.338076398344</v>
      </c>
      <c r="AE539" s="36">
        <f t="shared" si="337"/>
        <v>1309.222419849931</v>
      </c>
      <c r="AG539" s="1">
        <f t="shared" si="346"/>
        <v>81000000000</v>
      </c>
      <c r="AH539" s="1">
        <f t="shared" si="364"/>
        <v>81000000</v>
      </c>
      <c r="AI539" s="1">
        <f t="shared" si="365"/>
        <v>81081000000</v>
      </c>
      <c r="AJ539" s="1">
        <f t="shared" si="366"/>
        <v>3823200000000</v>
      </c>
      <c r="AK539" s="1">
        <f t="shared" si="367"/>
        <v>3827023200000</v>
      </c>
      <c r="AL539" s="39">
        <f>+AJ539/('Volcano Summary'!C$8)*10^6</f>
        <v>265417.5472666941</v>
      </c>
      <c r="AM539" s="1">
        <f t="shared" si="347"/>
        <v>1309.222419849931</v>
      </c>
    </row>
    <row r="540" spans="1:39" ht="12.75">
      <c r="A540" s="1">
        <f t="shared" si="358"/>
        <v>841503.1873688981</v>
      </c>
      <c r="B540" s="1">
        <f t="shared" si="359"/>
        <v>1318.7580517991983</v>
      </c>
      <c r="C540" s="1">
        <f t="shared" si="339"/>
        <v>108000</v>
      </c>
      <c r="D540" s="1">
        <f t="shared" si="348"/>
        <v>370.823233942262</v>
      </c>
      <c r="E540" s="38">
        <f t="shared" si="340"/>
        <v>3915069036.452444</v>
      </c>
      <c r="F540" s="38">
        <f t="shared" si="341"/>
        <v>2517185937.547962</v>
      </c>
      <c r="G540" s="38">
        <f t="shared" si="342"/>
        <v>1119302838.6434805</v>
      </c>
      <c r="H540" s="18">
        <f t="shared" si="349"/>
        <v>0.00134835132816368</v>
      </c>
      <c r="I540" s="50">
        <f t="shared" si="357"/>
        <v>0.02165224632574548</v>
      </c>
      <c r="J540" s="3">
        <f t="shared" si="350"/>
        <v>4.419483509104607</v>
      </c>
      <c r="K540" s="12">
        <f t="shared" si="334"/>
        <v>0.7115546919461259</v>
      </c>
      <c r="L540" s="3">
        <f t="shared" si="351"/>
        <v>1124.312870163103</v>
      </c>
      <c r="M540" s="12">
        <f t="shared" si="335"/>
        <v>0.6906481207094061</v>
      </c>
      <c r="N540" s="37">
        <f t="shared" si="352"/>
        <v>152773.46649368273</v>
      </c>
      <c r="O540" s="1">
        <f t="shared" si="343"/>
        <v>414140.52196043613</v>
      </c>
      <c r="P540">
        <f t="shared" si="353"/>
        <v>643.5375062577442</v>
      </c>
      <c r="Q540" s="1">
        <f t="shared" si="354"/>
        <v>98315.45564969562</v>
      </c>
      <c r="R540" s="1">
        <f>+Q540*1000/'Material Properties'!AE$35</f>
        <v>84313998.92201105</v>
      </c>
      <c r="S540" s="1">
        <f t="shared" si="355"/>
        <v>780.685175203806</v>
      </c>
      <c r="T540" s="1">
        <f t="shared" si="356"/>
        <v>324.30277218313165</v>
      </c>
      <c r="U540">
        <f t="shared" si="344"/>
        <v>2.6377081420356163E-05</v>
      </c>
      <c r="V540">
        <f>+'Material Properties'!AE$31+'Material Properties'!AE$33</f>
        <v>0.00029034311030761144</v>
      </c>
      <c r="W540">
        <f t="shared" si="360"/>
        <v>0.0003167201917279676</v>
      </c>
      <c r="X540" s="1">
        <f>+'Volcano Summary'!E$12*10^9/Q540/3600/24/365</f>
        <v>0</v>
      </c>
      <c r="Y540" s="3">
        <f t="shared" si="361"/>
        <v>2000</v>
      </c>
      <c r="Z540" s="1">
        <f>+Y540*'Volcano Summary'!B$19*'Volcano Summary'!B$20/1000</f>
        <v>81000000</v>
      </c>
      <c r="AA540" s="1">
        <f t="shared" si="345"/>
        <v>823878.600416686</v>
      </c>
      <c r="AB540" s="3">
        <f t="shared" si="338"/>
        <v>228.8551667824128</v>
      </c>
      <c r="AC540" s="1">
        <f t="shared" si="362"/>
        <v>113940695.67545074</v>
      </c>
      <c r="AD540" s="36">
        <f t="shared" si="363"/>
        <v>31650.193243180758</v>
      </c>
      <c r="AE540" s="36">
        <f t="shared" si="337"/>
        <v>1318.7580517991983</v>
      </c>
      <c r="AG540" s="1">
        <f t="shared" si="346"/>
        <v>81000000000</v>
      </c>
      <c r="AH540" s="1">
        <f t="shared" si="364"/>
        <v>81000000</v>
      </c>
      <c r="AI540" s="1">
        <f t="shared" si="365"/>
        <v>81081000000</v>
      </c>
      <c r="AJ540" s="1">
        <f t="shared" si="366"/>
        <v>3904200000000</v>
      </c>
      <c r="AK540" s="1">
        <f t="shared" si="367"/>
        <v>3908104200000</v>
      </c>
      <c r="AL540" s="39">
        <f>+AJ540/('Volcano Summary'!C$8)*10^6</f>
        <v>271040.8003867512</v>
      </c>
      <c r="AM540" s="1">
        <f t="shared" si="347"/>
        <v>1318.7580517991983</v>
      </c>
    </row>
    <row r="541" spans="1:39" ht="12.75">
      <c r="A541" s="1">
        <f t="shared" si="358"/>
        <v>823878.600416686</v>
      </c>
      <c r="B541" s="1">
        <f t="shared" si="359"/>
        <v>1328.0976322209249</v>
      </c>
      <c r="C541" s="1">
        <f t="shared" si="339"/>
        <v>110000</v>
      </c>
      <c r="D541" s="1">
        <f t="shared" si="348"/>
        <v>374.24103185095555</v>
      </c>
      <c r="E541" s="38">
        <f t="shared" si="340"/>
        <v>3951153384.8437896</v>
      </c>
      <c r="F541" s="38">
        <f t="shared" si="341"/>
        <v>2540386298.3821044</v>
      </c>
      <c r="G541" s="38">
        <f t="shared" si="342"/>
        <v>1129619211.9204206</v>
      </c>
      <c r="H541" s="18">
        <f t="shared" si="349"/>
        <v>0.0013360373594713925</v>
      </c>
      <c r="I541" s="50">
        <f t="shared" si="357"/>
        <v>0.021622229913360814</v>
      </c>
      <c r="J541" s="3">
        <f t="shared" si="350"/>
        <v>4.388810695932994</v>
      </c>
      <c r="K541" s="12">
        <f t="shared" si="334"/>
        <v>0.7100517241007168</v>
      </c>
      <c r="L541" s="3">
        <f t="shared" si="351"/>
        <v>1121.9380617173701</v>
      </c>
      <c r="M541" s="12">
        <f t="shared" si="335"/>
        <v>0.6899426460064589</v>
      </c>
      <c r="N541" s="37">
        <f t="shared" si="352"/>
        <v>155602.6047620843</v>
      </c>
      <c r="O541" s="1">
        <f t="shared" si="343"/>
        <v>416154.0208730654</v>
      </c>
      <c r="P541">
        <f t="shared" si="353"/>
        <v>645.1000084274262</v>
      </c>
      <c r="Q541" s="1">
        <f t="shared" si="354"/>
        <v>100379.24164335005</v>
      </c>
      <c r="R541" s="1">
        <f>+Q541*1000/'Material Properties'!AE$35</f>
        <v>86083873.74885654</v>
      </c>
      <c r="S541" s="1">
        <f t="shared" si="355"/>
        <v>782.5806704441504</v>
      </c>
      <c r="T541" s="1">
        <f t="shared" si="356"/>
        <v>325.304006660735</v>
      </c>
      <c r="U541">
        <f t="shared" si="344"/>
        <v>2.6296120908537316E-05</v>
      </c>
      <c r="V541">
        <f>+'Material Properties'!AE$31+'Material Properties'!AE$33</f>
        <v>0.00029034311030761144</v>
      </c>
      <c r="W541">
        <f t="shared" si="360"/>
        <v>0.0003166392312161488</v>
      </c>
      <c r="X541" s="1">
        <f>+'Volcano Summary'!E$12*10^9/Q541/3600/24/365</f>
        <v>0</v>
      </c>
      <c r="Y541" s="3">
        <f t="shared" si="361"/>
        <v>2000</v>
      </c>
      <c r="Z541" s="1">
        <f>+Y541*'Volcano Summary'!B$19*'Volcano Summary'!B$20/1000</f>
        <v>81000000</v>
      </c>
      <c r="AA541" s="1">
        <f t="shared" si="345"/>
        <v>806939.748437182</v>
      </c>
      <c r="AB541" s="3">
        <f t="shared" si="338"/>
        <v>224.14993012143947</v>
      </c>
      <c r="AC541" s="1">
        <f t="shared" si="362"/>
        <v>114747635.42388792</v>
      </c>
      <c r="AD541" s="36">
        <f t="shared" si="363"/>
        <v>31874.343173302197</v>
      </c>
      <c r="AE541" s="36">
        <f t="shared" si="337"/>
        <v>1328.0976322209249</v>
      </c>
      <c r="AG541" s="1">
        <f t="shared" si="346"/>
        <v>81000000000</v>
      </c>
      <c r="AH541" s="1">
        <f t="shared" si="364"/>
        <v>81000000</v>
      </c>
      <c r="AI541" s="1">
        <f t="shared" si="365"/>
        <v>81081000000</v>
      </c>
      <c r="AJ541" s="1">
        <f t="shared" si="366"/>
        <v>3985200000000</v>
      </c>
      <c r="AK541" s="1">
        <f t="shared" si="367"/>
        <v>3989185200000</v>
      </c>
      <c r="AL541" s="39">
        <f>+AJ541/('Volcano Summary'!C$8)*10^6</f>
        <v>276664.0535068083</v>
      </c>
      <c r="AM541" s="1">
        <f t="shared" si="347"/>
        <v>1328.0976322209249</v>
      </c>
    </row>
    <row r="542" spans="1:39" ht="12.75">
      <c r="A542" s="1">
        <f t="shared" si="358"/>
        <v>806939.748437182</v>
      </c>
      <c r="B542" s="1">
        <f t="shared" si="359"/>
        <v>1337.2486531363309</v>
      </c>
      <c r="C542" s="1">
        <f t="shared" si="339"/>
        <v>112000</v>
      </c>
      <c r="D542" s="1">
        <f t="shared" si="348"/>
        <v>377.62789755305187</v>
      </c>
      <c r="E542" s="38">
        <f t="shared" si="340"/>
        <v>3986911157.893588</v>
      </c>
      <c r="F542" s="38">
        <f t="shared" si="341"/>
        <v>2563376688.242649</v>
      </c>
      <c r="G542" s="38">
        <f t="shared" si="342"/>
        <v>1139842218.5917091</v>
      </c>
      <c r="H542" s="18">
        <f t="shared" si="349"/>
        <v>0.0013240547195794942</v>
      </c>
      <c r="I542" s="50">
        <f t="shared" si="357"/>
        <v>0.0215928352440181</v>
      </c>
      <c r="J542" s="3">
        <f t="shared" si="350"/>
        <v>4.35900954139446</v>
      </c>
      <c r="K542" s="12">
        <f t="shared" si="334"/>
        <v>0.7085914675283287</v>
      </c>
      <c r="L542" s="3">
        <f t="shared" si="351"/>
        <v>1119.6307404718507</v>
      </c>
      <c r="M542" s="12">
        <f t="shared" si="335"/>
        <v>0.6892572194520726</v>
      </c>
      <c r="N542" s="37">
        <f t="shared" si="352"/>
        <v>158431.7430304858</v>
      </c>
      <c r="O542" s="1">
        <f t="shared" si="343"/>
        <v>418137.44036864646</v>
      </c>
      <c r="P542">
        <f t="shared" si="353"/>
        <v>646.6354771961143</v>
      </c>
      <c r="Q542" s="1">
        <f t="shared" si="354"/>
        <v>102447.58575753035</v>
      </c>
      <c r="R542" s="1">
        <f>+Q542*1000/'Material Properties'!AE$35</f>
        <v>87857657.5579324</v>
      </c>
      <c r="S542" s="1">
        <f t="shared" si="355"/>
        <v>784.4433710529679</v>
      </c>
      <c r="T542" s="1">
        <f t="shared" si="356"/>
        <v>326.26995099107273</v>
      </c>
      <c r="U542">
        <f t="shared" si="344"/>
        <v>2.621848361689567E-05</v>
      </c>
      <c r="V542">
        <f>+'Material Properties'!AE$31+'Material Properties'!AE$33</f>
        <v>0.00029034311030761144</v>
      </c>
      <c r="W542">
        <f t="shared" si="360"/>
        <v>0.0003165615939245071</v>
      </c>
      <c r="X542" s="1">
        <f>+'Volcano Summary'!E$12*10^9/Q542/3600/24/365</f>
        <v>0</v>
      </c>
      <c r="Y542" s="3">
        <f t="shared" si="361"/>
        <v>2000</v>
      </c>
      <c r="Z542" s="1">
        <f>+Y542*'Volcano Summary'!B$19*'Volcano Summary'!B$20/1000</f>
        <v>81000000</v>
      </c>
      <c r="AA542" s="1">
        <f t="shared" si="345"/>
        <v>790648.2070910699</v>
      </c>
      <c r="AB542" s="3">
        <f t="shared" si="338"/>
        <v>219.62450196974163</v>
      </c>
      <c r="AC542" s="1">
        <f t="shared" si="362"/>
        <v>115538283.63097899</v>
      </c>
      <c r="AD542" s="36">
        <f t="shared" si="363"/>
        <v>32093.96767527194</v>
      </c>
      <c r="AE542" s="36">
        <f t="shared" si="337"/>
        <v>1337.2486531363309</v>
      </c>
      <c r="AG542" s="1">
        <f t="shared" si="346"/>
        <v>81000000000</v>
      </c>
      <c r="AH542" s="1">
        <f t="shared" si="364"/>
        <v>81000000</v>
      </c>
      <c r="AI542" s="1">
        <f t="shared" si="365"/>
        <v>81081000000</v>
      </c>
      <c r="AJ542" s="1">
        <f t="shared" si="366"/>
        <v>4066200000000</v>
      </c>
      <c r="AK542" s="1">
        <f t="shared" si="367"/>
        <v>4070266200000</v>
      </c>
      <c r="AL542" s="39">
        <f>+AJ542/('Volcano Summary'!C$8)*10^6</f>
        <v>282287.30662686535</v>
      </c>
      <c r="AM542" s="1">
        <f t="shared" si="347"/>
        <v>1337.2486531363309</v>
      </c>
    </row>
    <row r="543" spans="1:39" ht="12.75">
      <c r="A543" s="1">
        <f t="shared" si="358"/>
        <v>790648.2070910699</v>
      </c>
      <c r="B543" s="1">
        <f t="shared" si="359"/>
        <v>1346.2181940905768</v>
      </c>
      <c r="C543" s="1">
        <f t="shared" si="339"/>
        <v>114000</v>
      </c>
      <c r="D543" s="1">
        <f t="shared" si="348"/>
        <v>380.9846559899868</v>
      </c>
      <c r="E543" s="38">
        <f t="shared" si="340"/>
        <v>4022351065.1496177</v>
      </c>
      <c r="F543" s="38">
        <f t="shared" si="341"/>
        <v>2586162706.9162083</v>
      </c>
      <c r="G543" s="38">
        <f t="shared" si="342"/>
        <v>1149974348.6827993</v>
      </c>
      <c r="H543" s="18">
        <f t="shared" si="349"/>
        <v>0.00131238881182958</v>
      </c>
      <c r="I543" s="50">
        <f t="shared" si="357"/>
        <v>0.021564038570590117</v>
      </c>
      <c r="J543" s="3">
        <f t="shared" si="350"/>
        <v>4.3300402957904005</v>
      </c>
      <c r="K543" s="12">
        <f aca="true" t="shared" si="368" ref="K543:K603">0.642-(3-J543)*(0.642-0.593)</f>
        <v>0.7071719744937297</v>
      </c>
      <c r="L543" s="3">
        <f t="shared" si="351"/>
        <v>1117.38782885034</v>
      </c>
      <c r="M543" s="12">
        <f aca="true" t="shared" si="369" ref="M543:M603">0.658-(3-J543)*(0.658-0.635)</f>
        <v>0.6885909268031792</v>
      </c>
      <c r="N543" s="37">
        <f t="shared" si="352"/>
        <v>161260.8812988873</v>
      </c>
      <c r="O543" s="1">
        <f t="shared" si="343"/>
        <v>420091.66095799324</v>
      </c>
      <c r="P543">
        <f t="shared" si="353"/>
        <v>648.1447839472237</v>
      </c>
      <c r="Q543" s="1">
        <f t="shared" si="354"/>
        <v>104520.3990686062</v>
      </c>
      <c r="R543" s="1">
        <f>+Q543*1000/'Material Properties'!AE$35</f>
        <v>89635274.0895415</v>
      </c>
      <c r="S543" s="1">
        <f t="shared" si="355"/>
        <v>786.2743341187851</v>
      </c>
      <c r="T543" s="1">
        <f t="shared" si="356"/>
        <v>327.2024716469833</v>
      </c>
      <c r="U543">
        <f t="shared" si="344"/>
        <v>2.614396641677621E-05</v>
      </c>
      <c r="V543">
        <f>+'Material Properties'!AE$31+'Material Properties'!AE$33</f>
        <v>0.00029034311030761144</v>
      </c>
      <c r="W543">
        <f t="shared" si="360"/>
        <v>0.00031648707672438765</v>
      </c>
      <c r="X543" s="1">
        <f>+'Volcano Summary'!E$12*10^9/Q543/3600/24/365</f>
        <v>0</v>
      </c>
      <c r="Y543" s="3">
        <f t="shared" si="361"/>
        <v>2000</v>
      </c>
      <c r="Z543" s="1">
        <f>+Y543*'Volcano Summary'!B$19*'Volcano Summary'!B$20/1000</f>
        <v>81000000</v>
      </c>
      <c r="AA543" s="1">
        <f t="shared" si="345"/>
        <v>774968.3384468553</v>
      </c>
      <c r="AB543" s="3">
        <f t="shared" si="338"/>
        <v>215.26898290190425</v>
      </c>
      <c r="AC543" s="1">
        <f t="shared" si="362"/>
        <v>116313251.96942584</v>
      </c>
      <c r="AD543" s="36">
        <f t="shared" si="363"/>
        <v>32309.236658173842</v>
      </c>
      <c r="AE543" s="36">
        <f t="shared" si="337"/>
        <v>1346.2181940905768</v>
      </c>
      <c r="AG543" s="1">
        <f t="shared" si="346"/>
        <v>80999999999.99998</v>
      </c>
      <c r="AH543" s="1">
        <f t="shared" si="364"/>
        <v>81000000</v>
      </c>
      <c r="AI543" s="1">
        <f t="shared" si="365"/>
        <v>81080999999.99998</v>
      </c>
      <c r="AJ543" s="1">
        <f t="shared" si="366"/>
        <v>4147200000000</v>
      </c>
      <c r="AK543" s="1">
        <f t="shared" si="367"/>
        <v>4151347200000</v>
      </c>
      <c r="AL543" s="39">
        <f>+AJ543/('Volcano Summary'!C$8)*10^6</f>
        <v>287910.5597469224</v>
      </c>
      <c r="AM543" s="1">
        <f t="shared" si="347"/>
        <v>1346.2181940905768</v>
      </c>
    </row>
    <row r="544" spans="1:39" ht="12.75">
      <c r="A544" s="1">
        <f t="shared" si="358"/>
        <v>774968.3384468553</v>
      </c>
      <c r="B544" s="1">
        <f t="shared" si="359"/>
        <v>1355.0129515512206</v>
      </c>
      <c r="C544" s="1">
        <f t="shared" si="339"/>
        <v>116000</v>
      </c>
      <c r="D544" s="1">
        <f t="shared" si="348"/>
        <v>384.3120960746342</v>
      </c>
      <c r="E544" s="38">
        <f t="shared" si="340"/>
        <v>4057481435.7781267</v>
      </c>
      <c r="F544" s="38">
        <f t="shared" si="341"/>
        <v>2608749709.6238437</v>
      </c>
      <c r="G544" s="38">
        <f t="shared" si="342"/>
        <v>1160017983.469561</v>
      </c>
      <c r="H544" s="18">
        <f t="shared" si="349"/>
        <v>0.0013010259242605233</v>
      </c>
      <c r="I544" s="50">
        <f t="shared" si="357"/>
        <v>0.021535817452003985</v>
      </c>
      <c r="J544" s="3">
        <f t="shared" si="350"/>
        <v>4.301865680519939</v>
      </c>
      <c r="K544" s="12">
        <f t="shared" si="368"/>
        <v>0.7057914183454771</v>
      </c>
      <c r="L544" s="3">
        <f t="shared" si="351"/>
        <v>1115.206440598626</v>
      </c>
      <c r="M544" s="12">
        <f t="shared" si="369"/>
        <v>0.6879429106519587</v>
      </c>
      <c r="N544" s="37">
        <f t="shared" si="352"/>
        <v>164090.01956728887</v>
      </c>
      <c r="O544" s="1">
        <f t="shared" si="343"/>
        <v>422017.52385745384</v>
      </c>
      <c r="P544">
        <f t="shared" si="353"/>
        <v>649.6287584901502</v>
      </c>
      <c r="Q544" s="1">
        <f t="shared" si="354"/>
        <v>106597.59569212231</v>
      </c>
      <c r="R544" s="1">
        <f>+Q544*1000/'Material Properties'!AE$35</f>
        <v>91416649.6903419</v>
      </c>
      <c r="S544" s="1">
        <f t="shared" si="355"/>
        <v>788.0745662960509</v>
      </c>
      <c r="T544" s="1">
        <f t="shared" si="356"/>
        <v>328.10330514051066</v>
      </c>
      <c r="U544">
        <f t="shared" si="344"/>
        <v>2.607238245322962E-05</v>
      </c>
      <c r="V544">
        <f>+'Material Properties'!AE$31+'Material Properties'!AE$33</f>
        <v>0.00029034311030761144</v>
      </c>
      <c r="W544">
        <f t="shared" si="360"/>
        <v>0.00031641549276084104</v>
      </c>
      <c r="X544" s="1">
        <f>+'Volcano Summary'!E$12*10^9/Q544/3600/24/365</f>
        <v>0</v>
      </c>
      <c r="Y544" s="3">
        <f t="shared" si="361"/>
        <v>2000</v>
      </c>
      <c r="Z544" s="1">
        <f>+Y544*'Volcano Summary'!B$19*'Volcano Summary'!B$20/1000</f>
        <v>81000000</v>
      </c>
      <c r="AA544" s="1">
        <f t="shared" si="345"/>
        <v>759867.0445996372</v>
      </c>
      <c r="AB544" s="3">
        <f t="shared" si="338"/>
        <v>211.07417905545478</v>
      </c>
      <c r="AC544" s="1">
        <f t="shared" si="362"/>
        <v>117073119.01402548</v>
      </c>
      <c r="AD544" s="36">
        <f t="shared" si="363"/>
        <v>32520.310837229295</v>
      </c>
      <c r="AE544" s="36">
        <f t="shared" si="337"/>
        <v>1355.0129515512206</v>
      </c>
      <c r="AG544" s="1">
        <f t="shared" si="346"/>
        <v>81000000000</v>
      </c>
      <c r="AH544" s="1">
        <f t="shared" si="364"/>
        <v>81000000</v>
      </c>
      <c r="AI544" s="1">
        <f t="shared" si="365"/>
        <v>81081000000</v>
      </c>
      <c r="AJ544" s="1">
        <f t="shared" si="366"/>
        <v>4228200000000</v>
      </c>
      <c r="AK544" s="1">
        <f t="shared" si="367"/>
        <v>4232428200000</v>
      </c>
      <c r="AL544" s="39">
        <f>+AJ544/('Volcano Summary'!C$8)*10^6</f>
        <v>293533.8128669795</v>
      </c>
      <c r="AM544" s="1">
        <f t="shared" si="347"/>
        <v>1355.0129515512206</v>
      </c>
    </row>
    <row r="545" spans="1:39" ht="12.75">
      <c r="A545" s="1">
        <f t="shared" si="358"/>
        <v>759867.0445996372</v>
      </c>
      <c r="B545" s="1">
        <f t="shared" si="359"/>
        <v>1363.63926575101</v>
      </c>
      <c r="C545" s="1">
        <f t="shared" si="339"/>
        <v>118000</v>
      </c>
      <c r="D545" s="1">
        <f t="shared" si="348"/>
        <v>387.61097285648304</v>
      </c>
      <c r="E545" s="38">
        <f t="shared" si="340"/>
        <v>4092310241.4232955</v>
      </c>
      <c r="F545" s="38">
        <f t="shared" si="341"/>
        <v>2631142821.718503</v>
      </c>
      <c r="G545" s="38">
        <f t="shared" si="342"/>
        <v>1169975402.0137115</v>
      </c>
      <c r="H545" s="18">
        <f t="shared" si="349"/>
        <v>0.0012899531618397453</v>
      </c>
      <c r="I545" s="50">
        <f t="shared" si="357"/>
        <v>0.021508150660248502</v>
      </c>
      <c r="J545" s="3">
        <f t="shared" si="350"/>
        <v>4.274450694951316</v>
      </c>
      <c r="K545" s="12">
        <f t="shared" si="368"/>
        <v>0.7044480840526145</v>
      </c>
      <c r="L545" s="3">
        <f t="shared" si="351"/>
        <v>1113.0838658317223</v>
      </c>
      <c r="M545" s="12">
        <f t="shared" si="369"/>
        <v>0.6873123659838803</v>
      </c>
      <c r="N545" s="37">
        <f t="shared" si="352"/>
        <v>166919.15783569045</v>
      </c>
      <c r="O545" s="1">
        <f t="shared" si="343"/>
        <v>423915.83335276926</v>
      </c>
      <c r="P545">
        <f t="shared" si="353"/>
        <v>651.0881916858647</v>
      </c>
      <c r="Q545" s="1">
        <f t="shared" si="354"/>
        <v>108679.09263296713</v>
      </c>
      <c r="R545" s="1">
        <f>+Q545*1000/'Material Properties'!AE$35</f>
        <v>93201713.18485364</v>
      </c>
      <c r="S545" s="1">
        <f t="shared" si="355"/>
        <v>789.8450269902851</v>
      </c>
      <c r="T545" s="1">
        <f t="shared" si="356"/>
        <v>328.9740691566881</v>
      </c>
      <c r="U545">
        <f t="shared" si="344"/>
        <v>2.6003559546008304E-05</v>
      </c>
      <c r="V545">
        <f>+'Material Properties'!AE$31+'Material Properties'!AE$33</f>
        <v>0.00029034311030761144</v>
      </c>
      <c r="W545">
        <f t="shared" si="360"/>
        <v>0.00031634666985361974</v>
      </c>
      <c r="X545" s="1">
        <f>+'Volcano Summary'!E$12*10^9/Q545/3600/24/365</f>
        <v>0</v>
      </c>
      <c r="Y545" s="3">
        <f t="shared" si="361"/>
        <v>2000</v>
      </c>
      <c r="Z545" s="1">
        <f>+Y545*'Volcano Summary'!B$19*'Volcano Summary'!B$20/1000</f>
        <v>81000000</v>
      </c>
      <c r="AA545" s="1">
        <f t="shared" si="345"/>
        <v>745313.5468618105</v>
      </c>
      <c r="AB545" s="3">
        <f t="shared" si="338"/>
        <v>207.03154079494735</v>
      </c>
      <c r="AC545" s="1">
        <f t="shared" si="362"/>
        <v>117818432.56088729</v>
      </c>
      <c r="AD545" s="36">
        <f t="shared" si="363"/>
        <v>32727.34237802424</v>
      </c>
      <c r="AE545" s="36">
        <f t="shared" si="337"/>
        <v>1363.63926575101</v>
      </c>
      <c r="AG545" s="1">
        <f t="shared" si="346"/>
        <v>81000000000</v>
      </c>
      <c r="AH545" s="1">
        <f t="shared" si="364"/>
        <v>81000000</v>
      </c>
      <c r="AI545" s="1">
        <f t="shared" si="365"/>
        <v>81081000000</v>
      </c>
      <c r="AJ545" s="1">
        <f t="shared" si="366"/>
        <v>4309200000000</v>
      </c>
      <c r="AK545" s="1">
        <f t="shared" si="367"/>
        <v>4313509200000</v>
      </c>
      <c r="AL545" s="39">
        <f>+AJ545/('Volcano Summary'!C$8)*10^6</f>
        <v>299157.06598703656</v>
      </c>
      <c r="AM545" s="1">
        <f t="shared" si="347"/>
        <v>1363.63926575101</v>
      </c>
    </row>
    <row r="546" spans="1:39" ht="12.75">
      <c r="A546" s="1">
        <f t="shared" si="358"/>
        <v>745313.5468618105</v>
      </c>
      <c r="B546" s="1">
        <f t="shared" si="359"/>
        <v>1372.1031452358666</v>
      </c>
      <c r="C546" s="1">
        <f t="shared" si="339"/>
        <v>120000</v>
      </c>
      <c r="D546" s="1">
        <f t="shared" si="348"/>
        <v>390.882009522336</v>
      </c>
      <c r="E546" s="38">
        <f t="shared" si="340"/>
        <v>4126845117.3301687</v>
      </c>
      <c r="F546" s="38">
        <f t="shared" si="341"/>
        <v>2653346952.2659726</v>
      </c>
      <c r="G546" s="38">
        <f t="shared" si="342"/>
        <v>1179848787.201777</v>
      </c>
      <c r="H546" s="18">
        <f t="shared" si="349"/>
        <v>0.0012791583849331104</v>
      </c>
      <c r="I546" s="50">
        <f t="shared" si="357"/>
        <v>0.021481018095457532</v>
      </c>
      <c r="J546" s="3">
        <f t="shared" si="350"/>
        <v>4.247762441370437</v>
      </c>
      <c r="K546" s="12">
        <f t="shared" si="368"/>
        <v>0.7031403596271515</v>
      </c>
      <c r="L546" s="3">
        <f t="shared" si="351"/>
        <v>1111.0175574807035</v>
      </c>
      <c r="M546" s="12">
        <f t="shared" si="369"/>
        <v>0.6866985361515201</v>
      </c>
      <c r="N546" s="37">
        <f t="shared" si="352"/>
        <v>169748.29610409192</v>
      </c>
      <c r="O546" s="1">
        <f t="shared" si="343"/>
        <v>425787.3589844311</v>
      </c>
      <c r="P546">
        <f t="shared" si="353"/>
        <v>652.5238378668101</v>
      </c>
      <c r="Q546" s="1">
        <f t="shared" si="354"/>
        <v>110764.80964519376</v>
      </c>
      <c r="R546" s="1">
        <f>+Q546*1000/'Material Properties'!AE$35</f>
        <v>94990395.75524297</v>
      </c>
      <c r="S546" s="1">
        <f t="shared" si="355"/>
        <v>791.5866312936914</v>
      </c>
      <c r="T546" s="1">
        <f t="shared" si="356"/>
        <v>329.8162725616422</v>
      </c>
      <c r="U546">
        <f t="shared" si="344"/>
        <v>2.5937338775494225E-05</v>
      </c>
      <c r="V546">
        <f>+'Material Properties'!AE$31+'Material Properties'!AE$33</f>
        <v>0.00029034311030761144</v>
      </c>
      <c r="W546">
        <f t="shared" si="360"/>
        <v>0.00031628044908310566</v>
      </c>
      <c r="X546" s="1">
        <f>+'Volcano Summary'!E$12*10^9/Q546/3600/24/365</f>
        <v>0</v>
      </c>
      <c r="Y546" s="3">
        <f t="shared" si="361"/>
        <v>2000</v>
      </c>
      <c r="Z546" s="1">
        <f>+Y546*'Volcano Summary'!B$19*'Volcano Summary'!B$20/1000</f>
        <v>81000000</v>
      </c>
      <c r="AA546" s="1">
        <f t="shared" si="345"/>
        <v>731279.1874916087</v>
      </c>
      <c r="AB546" s="3">
        <f t="shared" si="338"/>
        <v>203.13310763655795</v>
      </c>
      <c r="AC546" s="1">
        <f t="shared" si="362"/>
        <v>118549711.7483789</v>
      </c>
      <c r="AD546" s="36">
        <f t="shared" si="363"/>
        <v>32930.4754856608</v>
      </c>
      <c r="AE546" s="36">
        <f t="shared" si="337"/>
        <v>1372.1031452358666</v>
      </c>
      <c r="AG546" s="1">
        <f t="shared" si="346"/>
        <v>80999999999.99998</v>
      </c>
      <c r="AH546" s="1">
        <f t="shared" si="364"/>
        <v>81000000</v>
      </c>
      <c r="AI546" s="1">
        <f t="shared" si="365"/>
        <v>81080999999.99998</v>
      </c>
      <c r="AJ546" s="1">
        <f t="shared" si="366"/>
        <v>4390200000000</v>
      </c>
      <c r="AK546" s="1">
        <f t="shared" si="367"/>
        <v>4394590200000</v>
      </c>
      <c r="AL546" s="39">
        <f>+AJ546/('Volcano Summary'!C$8)*10^6</f>
        <v>304780.3191070937</v>
      </c>
      <c r="AM546" s="1">
        <f t="shared" si="347"/>
        <v>1372.1031452358666</v>
      </c>
    </row>
    <row r="547" spans="1:39" ht="12.75">
      <c r="A547" s="1">
        <f t="shared" si="358"/>
        <v>731279.1874916087</v>
      </c>
      <c r="B547" s="1">
        <f t="shared" si="359"/>
        <v>1380.4102893484708</v>
      </c>
      <c r="C547" s="1">
        <f t="shared" si="339"/>
        <v>122000</v>
      </c>
      <c r="D547" s="1">
        <f t="shared" si="348"/>
        <v>394.1258992475499</v>
      </c>
      <c r="E547" s="38">
        <f t="shared" si="340"/>
        <v>4161093381.8896346</v>
      </c>
      <c r="F547" s="38">
        <f t="shared" si="341"/>
        <v>2675366806.611281</v>
      </c>
      <c r="G547" s="38">
        <f t="shared" si="342"/>
        <v>1189640231.3329277</v>
      </c>
      <c r="H547" s="18">
        <f t="shared" si="349"/>
        <v>0.0012686301533458746</v>
      </c>
      <c r="I547" s="50">
        <f t="shared" si="357"/>
        <v>0.02145440070824584</v>
      </c>
      <c r="J547" s="3">
        <f t="shared" si="350"/>
        <v>4.221769966044576</v>
      </c>
      <c r="K547" s="12">
        <f t="shared" si="368"/>
        <v>0.7018667283361842</v>
      </c>
      <c r="L547" s="3">
        <f t="shared" si="351"/>
        <v>1109.0051189872402</v>
      </c>
      <c r="M547" s="12">
        <f t="shared" si="369"/>
        <v>0.6861007092190253</v>
      </c>
      <c r="N547" s="37">
        <f t="shared" si="352"/>
        <v>172577.43437249342</v>
      </c>
      <c r="O547" s="1">
        <f t="shared" si="343"/>
        <v>427632.8375707005</v>
      </c>
      <c r="P547">
        <f t="shared" si="353"/>
        <v>653.9364170702688</v>
      </c>
      <c r="Q547" s="1">
        <f t="shared" si="354"/>
        <v>112854.6691007278</v>
      </c>
      <c r="R547" s="1">
        <f>+Q547*1000/'Material Properties'!AE$35</f>
        <v>96782630.82872805</v>
      </c>
      <c r="S547" s="1">
        <f t="shared" si="355"/>
        <v>793.3002526944922</v>
      </c>
      <c r="T547" s="1">
        <f t="shared" si="356"/>
        <v>330.63132441558514</v>
      </c>
      <c r="U547">
        <f t="shared" si="344"/>
        <v>2.587357322907843E-05</v>
      </c>
      <c r="V547">
        <f>+'Material Properties'!AE$31+'Material Properties'!AE$33</f>
        <v>0.00029034311030761144</v>
      </c>
      <c r="W547">
        <f t="shared" si="360"/>
        <v>0.0003162166835366899</v>
      </c>
      <c r="X547" s="1">
        <f>+'Volcano Summary'!E$12*10^9/Q547/3600/24/365</f>
        <v>0</v>
      </c>
      <c r="Y547" s="3">
        <f t="shared" si="361"/>
        <v>2000</v>
      </c>
      <c r="Z547" s="1">
        <f>+Y547*'Volcano Summary'!B$19*'Volcano Summary'!B$20/1000</f>
        <v>81000000</v>
      </c>
      <c r="AA547" s="1">
        <f t="shared" si="345"/>
        <v>717737.2513289982</v>
      </c>
      <c r="AB547" s="3">
        <f t="shared" si="338"/>
        <v>199.37145870249952</v>
      </c>
      <c r="AC547" s="1">
        <f t="shared" si="362"/>
        <v>119267448.9997079</v>
      </c>
      <c r="AD547" s="36">
        <f t="shared" si="363"/>
        <v>33129.8469443633</v>
      </c>
      <c r="AE547" s="36">
        <f t="shared" si="337"/>
        <v>1380.4102893484708</v>
      </c>
      <c r="AG547" s="1">
        <f t="shared" si="346"/>
        <v>81000000000</v>
      </c>
      <c r="AH547" s="1">
        <f t="shared" si="364"/>
        <v>81000000</v>
      </c>
      <c r="AI547" s="1">
        <f t="shared" si="365"/>
        <v>81081000000</v>
      </c>
      <c r="AJ547" s="1">
        <f t="shared" si="366"/>
        <v>4471200000000</v>
      </c>
      <c r="AK547" s="1">
        <f t="shared" si="367"/>
        <v>4475671200000</v>
      </c>
      <c r="AL547" s="39">
        <f>+AJ547/('Volcano Summary'!C$8)*10^6</f>
        <v>310403.5722271508</v>
      </c>
      <c r="AM547" s="1">
        <f t="shared" si="347"/>
        <v>1380.4102893484708</v>
      </c>
    </row>
    <row r="548" spans="1:39" ht="12.75">
      <c r="A548" s="1">
        <f t="shared" si="358"/>
        <v>717737.2513289982</v>
      </c>
      <c r="B548" s="1">
        <f t="shared" si="359"/>
        <v>1388.5661088513962</v>
      </c>
      <c r="C548" s="1">
        <f t="shared" si="339"/>
        <v>124000</v>
      </c>
      <c r="D548" s="1">
        <f t="shared" si="348"/>
        <v>397.3433069112404</v>
      </c>
      <c r="E548" s="38">
        <f t="shared" si="340"/>
        <v>4195062054.747174</v>
      </c>
      <c r="F548" s="38">
        <f t="shared" si="341"/>
        <v>2697206898.021685</v>
      </c>
      <c r="G548" s="38">
        <f t="shared" si="342"/>
        <v>1199351741.2961972</v>
      </c>
      <c r="H548" s="18">
        <f t="shared" si="349"/>
        <v>0.001258357675348213</v>
      </c>
      <c r="I548" s="50">
        <f t="shared" si="357"/>
        <v>0.021428280428570035</v>
      </c>
      <c r="J548" s="3">
        <f t="shared" si="350"/>
        <v>4.196444114680499</v>
      </c>
      <c r="K548" s="12">
        <f t="shared" si="368"/>
        <v>0.7006257616193445</v>
      </c>
      <c r="L548" s="3">
        <f t="shared" si="351"/>
        <v>1107.0442931126038</v>
      </c>
      <c r="M548" s="12">
        <f t="shared" si="369"/>
        <v>0.6855182146376515</v>
      </c>
      <c r="N548" s="37">
        <f t="shared" si="352"/>
        <v>175406.57264089497</v>
      </c>
      <c r="O548" s="1">
        <f t="shared" si="343"/>
        <v>429452.97508275235</v>
      </c>
      <c r="P548">
        <f t="shared" si="353"/>
        <v>655.3266171023059</v>
      </c>
      <c r="Q548" s="1">
        <f t="shared" si="354"/>
        <v>114948.5958662676</v>
      </c>
      <c r="R548" s="1">
        <f>+Q548*1000/'Material Properties'!AE$35</f>
        <v>98578353.97201024</v>
      </c>
      <c r="S548" s="1">
        <f t="shared" si="355"/>
        <v>794.9867255807277</v>
      </c>
      <c r="T548" s="1">
        <f t="shared" si="356"/>
        <v>331.4205421042369</v>
      </c>
      <c r="U548">
        <f t="shared" si="344"/>
        <v>2.581212688714688E-05</v>
      </c>
      <c r="V548">
        <f>+'Material Properties'!AE$31+'Material Properties'!AE$33</f>
        <v>0.00029034311030761144</v>
      </c>
      <c r="W548">
        <f t="shared" si="360"/>
        <v>0.00031615523719475834</v>
      </c>
      <c r="X548" s="1">
        <f>+'Volcano Summary'!E$12*10^9/Q548/3600/24/365</f>
        <v>0</v>
      </c>
      <c r="Y548" s="3">
        <f t="shared" si="361"/>
        <v>2000</v>
      </c>
      <c r="Z548" s="1">
        <f>+Y548*'Volcano Summary'!B$19*'Volcano Summary'!B$20/1000</f>
        <v>81000000</v>
      </c>
      <c r="AA548" s="1">
        <f t="shared" si="345"/>
        <v>704662.8050527581</v>
      </c>
      <c r="AB548" s="3">
        <f t="shared" si="338"/>
        <v>195.73966807021057</v>
      </c>
      <c r="AC548" s="1">
        <f t="shared" si="362"/>
        <v>119972111.80476066</v>
      </c>
      <c r="AD548" s="36">
        <f t="shared" si="363"/>
        <v>33325.58661243351</v>
      </c>
      <c r="AE548" s="36">
        <f t="shared" si="337"/>
        <v>1388.5661088513962</v>
      </c>
      <c r="AG548" s="1">
        <f t="shared" si="346"/>
        <v>81000000000</v>
      </c>
      <c r="AH548" s="1">
        <f t="shared" si="364"/>
        <v>81000000</v>
      </c>
      <c r="AI548" s="1">
        <f t="shared" si="365"/>
        <v>81081000000</v>
      </c>
      <c r="AJ548" s="1">
        <f t="shared" si="366"/>
        <v>4552200000000</v>
      </c>
      <c r="AK548" s="1">
        <f t="shared" si="367"/>
        <v>4556752200000</v>
      </c>
      <c r="AL548" s="39">
        <f>+AJ548/('Volcano Summary'!C$8)*10^6</f>
        <v>316026.82534720784</v>
      </c>
      <c r="AM548" s="1">
        <f t="shared" si="347"/>
        <v>1388.5661088513962</v>
      </c>
    </row>
    <row r="549" spans="1:39" ht="12.75">
      <c r="A549" s="1">
        <f t="shared" si="358"/>
        <v>704662.8050527581</v>
      </c>
      <c r="B549" s="1">
        <f t="shared" si="359"/>
        <v>1396.575744870691</v>
      </c>
      <c r="C549" s="1">
        <f t="shared" si="339"/>
        <v>126000</v>
      </c>
      <c r="D549" s="1">
        <f t="shared" si="348"/>
        <v>400.53487068747273</v>
      </c>
      <c r="E549" s="38">
        <f t="shared" si="340"/>
        <v>4228757873.6023</v>
      </c>
      <c r="F549" s="38">
        <f t="shared" si="341"/>
        <v>2718871558.4878373</v>
      </c>
      <c r="G549" s="38">
        <f t="shared" si="342"/>
        <v>1208985243.373375</v>
      </c>
      <c r="H549" s="18">
        <f t="shared" si="349"/>
        <v>0.0012483307611689505</v>
      </c>
      <c r="I549" s="50">
        <f t="shared" si="357"/>
        <v>0.021402640100470566</v>
      </c>
      <c r="J549" s="3">
        <f t="shared" si="350"/>
        <v>4.171757400764553</v>
      </c>
      <c r="K549" s="12">
        <f t="shared" si="368"/>
        <v>0.6994161126374632</v>
      </c>
      <c r="L549" s="3">
        <f t="shared" si="351"/>
        <v>1105.1329517440447</v>
      </c>
      <c r="M549" s="12">
        <f t="shared" si="369"/>
        <v>0.6849504202175848</v>
      </c>
      <c r="N549" s="37">
        <f t="shared" si="352"/>
        <v>178235.71090929653</v>
      </c>
      <c r="O549" s="1">
        <f t="shared" si="343"/>
        <v>431248.4483849045</v>
      </c>
      <c r="P549">
        <f t="shared" si="353"/>
        <v>656.6950954475786</v>
      </c>
      <c r="Q549" s="1">
        <f t="shared" si="354"/>
        <v>117046.51718774751</v>
      </c>
      <c r="R549" s="1">
        <f>+Q549*1000/'Material Properties'!AE$35</f>
        <v>100377502.79219139</v>
      </c>
      <c r="S549" s="1">
        <f t="shared" si="355"/>
        <v>796.6468475570745</v>
      </c>
      <c r="T549" s="1">
        <f t="shared" si="356"/>
        <v>332.18515868765974</v>
      </c>
      <c r="U549">
        <f t="shared" si="344"/>
        <v>2.575287363086525E-05</v>
      </c>
      <c r="V549">
        <f>+'Material Properties'!AE$31+'Material Properties'!AE$33</f>
        <v>0.00029034311030761144</v>
      </c>
      <c r="W549">
        <f t="shared" si="360"/>
        <v>0.0003160959839384767</v>
      </c>
      <c r="X549" s="1">
        <f>+'Volcano Summary'!E$12*10^9/Q549/3600/24/365</f>
        <v>0</v>
      </c>
      <c r="Y549" s="3">
        <f t="shared" si="361"/>
        <v>2000</v>
      </c>
      <c r="Z549" s="1">
        <f>+Y549*'Volcano Summary'!B$19*'Volcano Summary'!B$20/1000</f>
        <v>81000000</v>
      </c>
      <c r="AA549" s="1">
        <f t="shared" si="345"/>
        <v>692032.5520670778</v>
      </c>
      <c r="AB549" s="3">
        <f t="shared" si="338"/>
        <v>192.23126446307717</v>
      </c>
      <c r="AC549" s="1">
        <f t="shared" si="362"/>
        <v>120664144.35682774</v>
      </c>
      <c r="AD549" s="36">
        <f t="shared" si="363"/>
        <v>33517.81787689659</v>
      </c>
      <c r="AE549" s="36">
        <f t="shared" si="337"/>
        <v>1396.575744870691</v>
      </c>
      <c r="AG549" s="1">
        <f t="shared" si="346"/>
        <v>81000000000</v>
      </c>
      <c r="AH549" s="1">
        <f t="shared" si="364"/>
        <v>81000000</v>
      </c>
      <c r="AI549" s="1">
        <f t="shared" si="365"/>
        <v>81081000000</v>
      </c>
      <c r="AJ549" s="1">
        <f t="shared" si="366"/>
        <v>4633200000000</v>
      </c>
      <c r="AK549" s="1">
        <f t="shared" si="367"/>
        <v>4637833200000</v>
      </c>
      <c r="AL549" s="39">
        <f>+AJ549/('Volcano Summary'!C$8)*10^6</f>
        <v>321650.0784672649</v>
      </c>
      <c r="AM549" s="1">
        <f t="shared" si="347"/>
        <v>1396.575744870691</v>
      </c>
    </row>
    <row r="550" spans="1:39" ht="12.75">
      <c r="A550" s="1">
        <f t="shared" si="358"/>
        <v>692032.5520670778</v>
      </c>
      <c r="B550" s="1">
        <f t="shared" si="359"/>
        <v>1404.4440863206748</v>
      </c>
      <c r="C550" s="1">
        <f t="shared" si="339"/>
        <v>128000</v>
      </c>
      <c r="D550" s="1">
        <f t="shared" si="348"/>
        <v>403.7012035232256</v>
      </c>
      <c r="E550" s="38">
        <f t="shared" si="340"/>
        <v>4262187309.8125696</v>
      </c>
      <c r="F550" s="38">
        <f t="shared" si="341"/>
        <v>2740364948.756351</v>
      </c>
      <c r="G550" s="38">
        <f t="shared" si="342"/>
        <v>1218542587.7001333</v>
      </c>
      <c r="H550" s="18">
        <f t="shared" si="349"/>
        <v>0.0012385397805018785</v>
      </c>
      <c r="I550" s="50">
        <f t="shared" si="357"/>
        <v>0.021377463422123464</v>
      </c>
      <c r="J550" s="3">
        <f t="shared" si="350"/>
        <v>4.147683885452373</v>
      </c>
      <c r="K550" s="12">
        <f t="shared" si="368"/>
        <v>0.6982365103871664</v>
      </c>
      <c r="L550" s="3">
        <f t="shared" si="351"/>
        <v>1103.2690865953873</v>
      </c>
      <c r="M550" s="12">
        <f t="shared" si="369"/>
        <v>0.6843967293654046</v>
      </c>
      <c r="N550" s="37">
        <f t="shared" si="352"/>
        <v>181064.84917769802</v>
      </c>
      <c r="O550" s="1">
        <f t="shared" si="343"/>
        <v>433019.90685158316</v>
      </c>
      <c r="P550">
        <f t="shared" si="353"/>
        <v>658.0424810387117</v>
      </c>
      <c r="Q550" s="1">
        <f t="shared" si="354"/>
        <v>119148.36258179255</v>
      </c>
      <c r="R550" s="1">
        <f>+Q550*1000/'Material Properties'!AE$35</f>
        <v>102180016.84368677</v>
      </c>
      <c r="S550" s="1">
        <f t="shared" si="355"/>
        <v>798.2813815913029</v>
      </c>
      <c r="T550" s="1">
        <f t="shared" si="356"/>
        <v>332.92632955298757</v>
      </c>
      <c r="U550">
        <f t="shared" si="344"/>
        <v>2.569569635650458E-05</v>
      </c>
      <c r="V550">
        <f>+'Material Properties'!AE$31+'Material Properties'!AE$33</f>
        <v>0.00029034311030761144</v>
      </c>
      <c r="W550">
        <f t="shared" si="360"/>
        <v>0.000316038806664116</v>
      </c>
      <c r="X550" s="1">
        <f>+'Volcano Summary'!E$12*10^9/Q550/3600/24/365</f>
        <v>0</v>
      </c>
      <c r="Y550" s="3">
        <f t="shared" si="361"/>
        <v>2000</v>
      </c>
      <c r="Z550" s="1">
        <f>+Y550*'Volcano Summary'!B$19*'Volcano Summary'!B$20/1000</f>
        <v>81000000</v>
      </c>
      <c r="AA550" s="1">
        <f t="shared" si="345"/>
        <v>679824.7012785879</v>
      </c>
      <c r="AB550" s="3">
        <f t="shared" si="338"/>
        <v>188.84019479960776</v>
      </c>
      <c r="AC550" s="1">
        <f t="shared" si="362"/>
        <v>121343969.05810632</v>
      </c>
      <c r="AD550" s="36">
        <f t="shared" si="363"/>
        <v>33706.6580716962</v>
      </c>
      <c r="AE550" s="36">
        <f aca="true" t="shared" si="370" ref="AE550:AE613">+AD550/24</f>
        <v>1404.4440863206748</v>
      </c>
      <c r="AG550" s="1">
        <f t="shared" si="346"/>
        <v>81000000000</v>
      </c>
      <c r="AH550" s="1">
        <f t="shared" si="364"/>
        <v>81000000</v>
      </c>
      <c r="AI550" s="1">
        <f t="shared" si="365"/>
        <v>81081000000</v>
      </c>
      <c r="AJ550" s="1">
        <f t="shared" si="366"/>
        <v>4714200000000</v>
      </c>
      <c r="AK550" s="1">
        <f t="shared" si="367"/>
        <v>4718914200000</v>
      </c>
      <c r="AL550" s="39">
        <f>+AJ550/('Volcano Summary'!C$8)*10^6</f>
        <v>327273.331587322</v>
      </c>
      <c r="AM550" s="1">
        <f t="shared" si="347"/>
        <v>1404.4440863206748</v>
      </c>
    </row>
    <row r="551" spans="1:39" ht="12.75">
      <c r="A551" s="1">
        <f t="shared" si="358"/>
        <v>679824.7012785879</v>
      </c>
      <c r="B551" s="1">
        <f t="shared" si="359"/>
        <v>1412.1757859531044</v>
      </c>
      <c r="C551" s="1">
        <f t="shared" si="339"/>
        <v>130000</v>
      </c>
      <c r="D551" s="1">
        <f t="shared" si="348"/>
        <v>406.84289451282194</v>
      </c>
      <c r="E551" s="38">
        <f t="shared" si="340"/>
        <v>4295356582.904517</v>
      </c>
      <c r="F551" s="38">
        <f t="shared" si="341"/>
        <v>2761691067.659581</v>
      </c>
      <c r="G551" s="38">
        <f t="shared" si="342"/>
        <v>1228025552.4146454</v>
      </c>
      <c r="H551" s="18">
        <f t="shared" si="349"/>
        <v>0.0012289756236218159</v>
      </c>
      <c r="I551" s="50">
        <f t="shared" si="357"/>
        <v>0.02135273489069411</v>
      </c>
      <c r="J551" s="3">
        <f t="shared" si="350"/>
        <v>4.12419906783221</v>
      </c>
      <c r="K551" s="12">
        <f t="shared" si="368"/>
        <v>0.6970857543237784</v>
      </c>
      <c r="L551" s="3">
        <f t="shared" si="351"/>
        <v>1101.450800710789</v>
      </c>
      <c r="M551" s="12">
        <f t="shared" si="369"/>
        <v>0.6838565785601409</v>
      </c>
      <c r="N551" s="37">
        <f t="shared" si="352"/>
        <v>183893.98744609955</v>
      </c>
      <c r="O551" s="1">
        <f t="shared" si="343"/>
        <v>434767.97387149284</v>
      </c>
      <c r="P551">
        <f t="shared" si="353"/>
        <v>659.369375897526</v>
      </c>
      <c r="Q551" s="1">
        <f t="shared" si="354"/>
        <v>121254.06373364214</v>
      </c>
      <c r="R551" s="1">
        <f>+Q551*1000/'Material Properties'!AE$35</f>
        <v>103985837.54068594</v>
      </c>
      <c r="S551" s="1">
        <f t="shared" si="355"/>
        <v>799.8910580052765</v>
      </c>
      <c r="T551" s="1">
        <f t="shared" si="356"/>
        <v>333.6451384467789</v>
      </c>
      <c r="U551">
        <f t="shared" si="344"/>
        <v>2.5640486183195918E-05</v>
      </c>
      <c r="V551">
        <f>+'Material Properties'!AE$31+'Material Properties'!AE$33</f>
        <v>0.00029034311030761144</v>
      </c>
      <c r="W551">
        <f t="shared" si="360"/>
        <v>0.00031598359649080736</v>
      </c>
      <c r="X551" s="1">
        <f>+'Volcano Summary'!E$12*10^9/Q551/3600/24/365</f>
        <v>0</v>
      </c>
      <c r="Y551" s="3">
        <f t="shared" si="361"/>
        <v>2000</v>
      </c>
      <c r="Z551" s="1">
        <f>+Y551*'Volcano Summary'!B$19*'Volcano Summary'!B$20/1000</f>
        <v>81000000</v>
      </c>
      <c r="AA551" s="1">
        <f t="shared" si="345"/>
        <v>668018.8482419201</v>
      </c>
      <c r="AB551" s="3">
        <f t="shared" si="338"/>
        <v>185.56079117831115</v>
      </c>
      <c r="AC551" s="1">
        <f t="shared" si="362"/>
        <v>122011987.90634824</v>
      </c>
      <c r="AD551" s="36">
        <f t="shared" si="363"/>
        <v>33892.218862874506</v>
      </c>
      <c r="AE551" s="36">
        <f t="shared" si="370"/>
        <v>1412.1757859531044</v>
      </c>
      <c r="AG551" s="1">
        <f t="shared" si="346"/>
        <v>81000000000</v>
      </c>
      <c r="AH551" s="1">
        <f t="shared" si="364"/>
        <v>81000000</v>
      </c>
      <c r="AI551" s="1">
        <f t="shared" si="365"/>
        <v>81081000000</v>
      </c>
      <c r="AJ551" s="1">
        <f t="shared" si="366"/>
        <v>4795200000000</v>
      </c>
      <c r="AK551" s="1">
        <f t="shared" si="367"/>
        <v>4799995200000</v>
      </c>
      <c r="AL551" s="39">
        <f>+AJ551/('Volcano Summary'!C$8)*10^6</f>
        <v>332896.58470737905</v>
      </c>
      <c r="AM551" s="1">
        <f t="shared" si="347"/>
        <v>1412.1757859531044</v>
      </c>
    </row>
    <row r="552" spans="1:39" ht="12.75">
      <c r="A552" s="1">
        <f t="shared" si="358"/>
        <v>668018.8482419201</v>
      </c>
      <c r="B552" s="1">
        <f t="shared" si="359"/>
        <v>1419.7752751584176</v>
      </c>
      <c r="C552" s="1">
        <f t="shared" si="339"/>
        <v>132000</v>
      </c>
      <c r="D552" s="1">
        <f t="shared" si="348"/>
        <v>409.96051017755536</v>
      </c>
      <c r="E552" s="38">
        <f t="shared" si="340"/>
        <v>4328271674.083668</v>
      </c>
      <c r="F552" s="38">
        <f t="shared" si="341"/>
        <v>2782853760.801857</v>
      </c>
      <c r="G552" s="38">
        <f t="shared" si="342"/>
        <v>1237435847.5200458</v>
      </c>
      <c r="H552" s="18">
        <f t="shared" si="349"/>
        <v>0.0012196296657535338</v>
      </c>
      <c r="I552" s="50">
        <f t="shared" si="357"/>
        <v>0.02132843975154076</v>
      </c>
      <c r="J552" s="3">
        <f t="shared" si="350"/>
        <v>4.101279784521603</v>
      </c>
      <c r="K552" s="12">
        <f t="shared" si="368"/>
        <v>0.6959627094415586</v>
      </c>
      <c r="L552" s="3">
        <f t="shared" si="351"/>
        <v>1099.6763006911247</v>
      </c>
      <c r="M552" s="12">
        <f t="shared" si="369"/>
        <v>0.6833294350439969</v>
      </c>
      <c r="N552" s="37">
        <f t="shared" si="352"/>
        <v>186723.12571450107</v>
      </c>
      <c r="O552" s="1">
        <f t="shared" si="343"/>
        <v>436493.24824843655</v>
      </c>
      <c r="P552">
        <f t="shared" si="353"/>
        <v>660.6763566591713</v>
      </c>
      <c r="Q552" s="1">
        <f t="shared" si="354"/>
        <v>123363.554401069</v>
      </c>
      <c r="R552" s="1">
        <f>+Q552*1000/'Material Properties'!AE$35</f>
        <v>105794908.07475482</v>
      </c>
      <c r="S552" s="1">
        <f t="shared" si="355"/>
        <v>801.4765763239002</v>
      </c>
      <c r="T552" s="1">
        <f t="shared" si="356"/>
        <v>334.3426029534595</v>
      </c>
      <c r="U552">
        <f t="shared" si="344"/>
        <v>2.558714174281375E-05</v>
      </c>
      <c r="V552">
        <f>+'Material Properties'!AE$31+'Material Properties'!AE$33</f>
        <v>0.00029034311030761144</v>
      </c>
      <c r="W552">
        <f t="shared" si="360"/>
        <v>0.0003159302520504252</v>
      </c>
      <c r="X552" s="1">
        <f>+'Volcano Summary'!E$12*10^9/Q552/3600/24/365</f>
        <v>0</v>
      </c>
      <c r="Y552" s="3">
        <f>+C553-C552</f>
        <v>2000</v>
      </c>
      <c r="Z552" s="1">
        <f>+Y552*'Volcano Summary'!B$19*'Volcano Summary'!B$20/1000</f>
        <v>81000000</v>
      </c>
      <c r="AA552" s="1">
        <f t="shared" si="345"/>
        <v>656595.8673390663</v>
      </c>
      <c r="AB552" s="3">
        <f t="shared" si="338"/>
        <v>182.38774092751842</v>
      </c>
      <c r="AC552" s="1">
        <f t="shared" si="362"/>
        <v>122668583.7736873</v>
      </c>
      <c r="AD552" s="36">
        <f t="shared" si="363"/>
        <v>34074.60660380202</v>
      </c>
      <c r="AE552" s="36">
        <f t="shared" si="370"/>
        <v>1419.7752751584176</v>
      </c>
      <c r="AG552" s="1">
        <f t="shared" si="346"/>
        <v>81000000000</v>
      </c>
      <c r="AH552" s="1">
        <f t="shared" si="364"/>
        <v>81000000</v>
      </c>
      <c r="AI552" s="1">
        <f t="shared" si="365"/>
        <v>81081000000</v>
      </c>
      <c r="AJ552" s="1">
        <f t="shared" si="366"/>
        <v>4876200000000</v>
      </c>
      <c r="AK552" s="1">
        <f t="shared" si="367"/>
        <v>4881076200000</v>
      </c>
      <c r="AL552" s="39">
        <f>+AJ552/('Volcano Summary'!C$8)*10^6</f>
        <v>338519.8378274361</v>
      </c>
      <c r="AM552" s="1">
        <f t="shared" si="347"/>
        <v>1419.7752751584176</v>
      </c>
    </row>
    <row r="553" spans="1:39" ht="12.75">
      <c r="A553" s="1">
        <f>+AA552</f>
        <v>656595.8673390663</v>
      </c>
      <c r="B553" s="1">
        <f t="shared" si="359"/>
        <v>1427.2467776331807</v>
      </c>
      <c r="C553" s="1">
        <f t="shared" si="339"/>
        <v>134000</v>
      </c>
      <c r="D553" s="1">
        <f t="shared" si="348"/>
        <v>413.05459565838487</v>
      </c>
      <c r="E553" s="38">
        <f t="shared" si="340"/>
        <v>4360938338.826737</v>
      </c>
      <c r="F553" s="38">
        <f t="shared" si="341"/>
        <v>2803856728.655613</v>
      </c>
      <c r="G553" s="38">
        <f t="shared" si="342"/>
        <v>1246775118.4844892</v>
      </c>
      <c r="H553" s="18">
        <f t="shared" si="349"/>
        <v>0.0012104937343767577</v>
      </c>
      <c r="I553" s="50">
        <f t="shared" si="357"/>
        <v>0.021304563951364396</v>
      </c>
      <c r="J553" s="3">
        <f t="shared" si="350"/>
        <v>4.078904117675554</v>
      </c>
      <c r="K553" s="12">
        <f t="shared" si="368"/>
        <v>0.6948663017661022</v>
      </c>
      <c r="L553" s="3">
        <f t="shared" si="351"/>
        <v>1097.9438895716228</v>
      </c>
      <c r="M553" s="12">
        <f t="shared" si="369"/>
        <v>0.6828147947065378</v>
      </c>
      <c r="N553" s="37">
        <f t="shared" si="352"/>
        <v>189552.26398290263</v>
      </c>
      <c r="O553" s="1">
        <f t="shared" si="343"/>
        <v>438196.30550730653</v>
      </c>
      <c r="P553">
        <f t="shared" si="353"/>
        <v>661.9639759891066</v>
      </c>
      <c r="Q553" s="1">
        <f t="shared" si="354"/>
        <v>125476.77032385896</v>
      </c>
      <c r="R553" s="1">
        <f>+Q553*1000/'Material Properties'!AE$35</f>
        <v>107607173.33720689</v>
      </c>
      <c r="S553" s="1">
        <f t="shared" si="355"/>
        <v>803.0386069940812</v>
      </c>
      <c r="T553" s="1">
        <f t="shared" si="356"/>
        <v>335.0196794782995</v>
      </c>
      <c r="U553">
        <f t="shared" si="344"/>
        <v>2.5535568542223898E-05</v>
      </c>
      <c r="V553">
        <f>+'Material Properties'!AE$31+'Material Properties'!AE$33</f>
        <v>0.00029034311030761144</v>
      </c>
      <c r="W553">
        <f t="shared" si="360"/>
        <v>0.00031587867884983535</v>
      </c>
      <c r="X553" s="1">
        <f>+'Volcano Summary'!E$12*10^9/Q553/3600/24/365</f>
        <v>0</v>
      </c>
      <c r="Y553" s="3">
        <f t="shared" si="361"/>
        <v>2000</v>
      </c>
      <c r="Z553" s="1">
        <f>+Y553*'Volcano Summary'!B$19*'Volcano Summary'!B$20/1000</f>
        <v>81000000</v>
      </c>
      <c r="AA553" s="1">
        <f t="shared" si="345"/>
        <v>645537.8138195365</v>
      </c>
      <c r="AB553" s="3">
        <f t="shared" si="338"/>
        <v>179.3160593943157</v>
      </c>
      <c r="AC553" s="1">
        <f>+AC552+AA553</f>
        <v>123314121.58750685</v>
      </c>
      <c r="AD553" s="36">
        <f>+AD552+AB553</f>
        <v>34253.92266319634</v>
      </c>
      <c r="AE553" s="36">
        <f t="shared" si="370"/>
        <v>1427.2467776331807</v>
      </c>
      <c r="AG553" s="1">
        <f t="shared" si="346"/>
        <v>81000000000</v>
      </c>
      <c r="AH553" s="1">
        <f t="shared" si="364"/>
        <v>81000000</v>
      </c>
      <c r="AI553" s="1">
        <f t="shared" si="365"/>
        <v>81081000000</v>
      </c>
      <c r="AJ553" s="1">
        <f>+AJ552+AG553</f>
        <v>4957200000000</v>
      </c>
      <c r="AK553" s="1">
        <f>+AK552+AI553</f>
        <v>4962157200000</v>
      </c>
      <c r="AL553" s="39">
        <f>+AJ553/('Volcano Summary'!C$8)*10^6</f>
        <v>344143.0909474932</v>
      </c>
      <c r="AM553" s="1">
        <f t="shared" si="347"/>
        <v>1427.2467776331807</v>
      </c>
    </row>
    <row r="554" spans="1:39" ht="12.75">
      <c r="A554" s="1">
        <f t="shared" si="358"/>
        <v>645537.8138195365</v>
      </c>
      <c r="B554" s="1">
        <f t="shared" si="359"/>
        <v>1434.5943220159163</v>
      </c>
      <c r="C554" s="1">
        <f aca="true" t="shared" si="371" ref="C554:C580">+C384*10</f>
        <v>136000</v>
      </c>
      <c r="D554" s="1">
        <f t="shared" si="348"/>
        <v>416.1256758288079</v>
      </c>
      <c r="E554" s="38">
        <f t="shared" si="340"/>
        <v>4393362118.631103</v>
      </c>
      <c r="F554" s="38">
        <f t="shared" si="341"/>
        <v>2824703534.115691</v>
      </c>
      <c r="G554" s="38">
        <f t="shared" si="342"/>
        <v>1256044949.6002803</v>
      </c>
      <c r="H554" s="18">
        <f t="shared" si="349"/>
        <v>0.0012015600791855428</v>
      </c>
      <c r="I554" s="50">
        <f t="shared" si="357"/>
        <v>0.021281094094944324</v>
      </c>
      <c r="J554" s="3">
        <f t="shared" si="350"/>
        <v>4.05705131058763</v>
      </c>
      <c r="K554" s="12">
        <f t="shared" si="368"/>
        <v>0.6937955142187939</v>
      </c>
      <c r="L554" s="3">
        <f t="shared" si="351"/>
        <v>1096.2519602873729</v>
      </c>
      <c r="M554" s="12">
        <f t="shared" si="369"/>
        <v>0.6823121801435156</v>
      </c>
      <c r="N554" s="37">
        <f t="shared" si="352"/>
        <v>192381.4022513042</v>
      </c>
      <c r="O554" s="1">
        <f t="shared" si="343"/>
        <v>439877.6991129486</v>
      </c>
      <c r="P554">
        <f t="shared" si="353"/>
        <v>663.2327639018964</v>
      </c>
      <c r="Q554" s="1">
        <f t="shared" si="354"/>
        <v>127593.64913845499</v>
      </c>
      <c r="R554" s="1">
        <f>+Q554*1000/'Material Properties'!AE$35</f>
        <v>109422579.84590295</v>
      </c>
      <c r="S554" s="1">
        <f t="shared" si="355"/>
        <v>804.5777929845805</v>
      </c>
      <c r="T554" s="1">
        <f t="shared" si="356"/>
        <v>335.6772677864342</v>
      </c>
      <c r="U554">
        <f t="shared" si="344"/>
        <v>2.5485678389435587E-05</v>
      </c>
      <c r="V554">
        <f>+'Material Properties'!AE$31+'Material Properties'!AE$33</f>
        <v>0.00029034311030761144</v>
      </c>
      <c r="W554">
        <f t="shared" si="360"/>
        <v>0.000315828788697047</v>
      </c>
      <c r="X554" s="1">
        <f>+'Volcano Summary'!E$12*10^9/Q554/3600/24/365</f>
        <v>0</v>
      </c>
      <c r="Y554" s="3">
        <f t="shared" si="361"/>
        <v>2000</v>
      </c>
      <c r="Z554" s="1">
        <f>+Y554*'Volcano Summary'!B$19*'Volcano Summary'!B$20/1000</f>
        <v>81000000</v>
      </c>
      <c r="AA554" s="1">
        <f t="shared" si="345"/>
        <v>634827.8346683612</v>
      </c>
      <c r="AB554" s="3">
        <f t="shared" si="338"/>
        <v>176.3410651856559</v>
      </c>
      <c r="AC554" s="1">
        <f t="shared" si="362"/>
        <v>123948949.42217521</v>
      </c>
      <c r="AD554" s="36">
        <f t="shared" si="363"/>
        <v>34430.26372838199</v>
      </c>
      <c r="AE554" s="36">
        <f t="shared" si="370"/>
        <v>1434.5943220159163</v>
      </c>
      <c r="AG554" s="1">
        <f t="shared" si="346"/>
        <v>81000000000</v>
      </c>
      <c r="AH554" s="1">
        <f t="shared" si="364"/>
        <v>81000000</v>
      </c>
      <c r="AI554" s="1">
        <f t="shared" si="365"/>
        <v>81081000000</v>
      </c>
      <c r="AJ554" s="1">
        <f t="shared" si="366"/>
        <v>5038200000000</v>
      </c>
      <c r="AK554" s="1">
        <f t="shared" si="367"/>
        <v>5043238200000</v>
      </c>
      <c r="AL554" s="39">
        <f>+AJ554/('Volcano Summary'!C$8)*10^6</f>
        <v>349766.3440675503</v>
      </c>
      <c r="AM554" s="1">
        <f t="shared" si="347"/>
        <v>1434.5943220159163</v>
      </c>
    </row>
    <row r="555" spans="1:39" ht="12.75">
      <c r="A555" s="1">
        <f t="shared" si="358"/>
        <v>634827.8346683612</v>
      </c>
      <c r="B555" s="1">
        <f t="shared" si="359"/>
        <v>1441.8217535829365</v>
      </c>
      <c r="C555" s="1">
        <f t="shared" si="371"/>
        <v>138000</v>
      </c>
      <c r="D555" s="1">
        <f t="shared" si="348"/>
        <v>419.1742563343465</v>
      </c>
      <c r="E555" s="38">
        <f t="shared" si="340"/>
        <v>4425548351.98946</v>
      </c>
      <c r="F555" s="38">
        <f t="shared" si="341"/>
        <v>2845397609.555472</v>
      </c>
      <c r="G555" s="38">
        <f t="shared" si="342"/>
        <v>1265246867.1214836</v>
      </c>
      <c r="H555" s="18">
        <f t="shared" si="349"/>
        <v>0.0011928213444510397</v>
      </c>
      <c r="I555" s="50">
        <f t="shared" si="357"/>
        <v>0.021258017405136633</v>
      </c>
      <c r="J555" s="3">
        <f t="shared" si="350"/>
        <v>4.035701690155868</v>
      </c>
      <c r="K555" s="12">
        <f t="shared" si="368"/>
        <v>0.6927493828176376</v>
      </c>
      <c r="L555" s="3">
        <f t="shared" si="351"/>
        <v>1094.5989896703359</v>
      </c>
      <c r="M555" s="12">
        <f t="shared" si="369"/>
        <v>0.681821138873585</v>
      </c>
      <c r="N555" s="37">
        <f t="shared" si="352"/>
        <v>195210.54051970568</v>
      </c>
      <c r="O555" s="1">
        <f t="shared" si="343"/>
        <v>441537.96160888</v>
      </c>
      <c r="P555">
        <f t="shared" si="353"/>
        <v>664.4832289899272</v>
      </c>
      <c r="Q555" s="1">
        <f t="shared" si="354"/>
        <v>129714.13029740306</v>
      </c>
      <c r="R555" s="1">
        <f>+Q555*1000/'Material Properties'!AE$35</f>
        <v>111241075.67616914</v>
      </c>
      <c r="S555" s="1">
        <f t="shared" si="355"/>
        <v>806.094751276588</v>
      </c>
      <c r="T555" s="1">
        <f t="shared" si="356"/>
        <v>336.316215143401</v>
      </c>
      <c r="U555">
        <f t="shared" si="344"/>
        <v>2.5437388876309677E-05</v>
      </c>
      <c r="V555">
        <f>+'Material Properties'!AE$31+'Material Properties'!AE$33</f>
        <v>0.00029034311030761144</v>
      </c>
      <c r="W555">
        <f t="shared" si="360"/>
        <v>0.00031578049918392113</v>
      </c>
      <c r="X555" s="1">
        <f>+'Volcano Summary'!E$12*10^9/Q555/3600/24/365</f>
        <v>0</v>
      </c>
      <c r="Y555" s="3">
        <f t="shared" si="361"/>
        <v>2000</v>
      </c>
      <c r="Z555" s="1">
        <f>+Y555*'Volcano Summary'!B$19*'Volcano Summary'!B$20/1000</f>
        <v>81000000</v>
      </c>
      <c r="AA555" s="1">
        <f t="shared" si="345"/>
        <v>624450.0873905306</v>
      </c>
      <c r="AB555" s="3">
        <f t="shared" si="338"/>
        <v>173.45835760848072</v>
      </c>
      <c r="AC555" s="1">
        <f t="shared" si="362"/>
        <v>124573399.50956574</v>
      </c>
      <c r="AD555" s="36">
        <f t="shared" si="363"/>
        <v>34603.72208599048</v>
      </c>
      <c r="AE555" s="36">
        <f t="shared" si="370"/>
        <v>1441.8217535829365</v>
      </c>
      <c r="AG555" s="1">
        <f t="shared" si="346"/>
        <v>81000000000.00002</v>
      </c>
      <c r="AH555" s="1">
        <f t="shared" si="364"/>
        <v>81000000</v>
      </c>
      <c r="AI555" s="1">
        <f t="shared" si="365"/>
        <v>81081000000.00002</v>
      </c>
      <c r="AJ555" s="1">
        <f t="shared" si="366"/>
        <v>5119200000000</v>
      </c>
      <c r="AK555" s="1">
        <f t="shared" si="367"/>
        <v>5124319200000</v>
      </c>
      <c r="AL555" s="39">
        <f>+AJ555/('Volcano Summary'!C$8)*10^6</f>
        <v>355389.5971876074</v>
      </c>
      <c r="AM555" s="1">
        <f t="shared" si="347"/>
        <v>1441.8217535829365</v>
      </c>
    </row>
    <row r="556" spans="1:39" ht="12.75">
      <c r="A556" s="1">
        <f t="shared" si="358"/>
        <v>624450.0873905306</v>
      </c>
      <c r="B556" s="1">
        <f t="shared" si="359"/>
        <v>1448.9327450864803</v>
      </c>
      <c r="C556" s="1">
        <f t="shared" si="371"/>
        <v>140000</v>
      </c>
      <c r="D556" s="1">
        <f t="shared" si="348"/>
        <v>422.2008245644752</v>
      </c>
      <c r="E556" s="38">
        <f t="shared" si="340"/>
        <v>4457502184.651231</v>
      </c>
      <c r="F556" s="38">
        <f t="shared" si="341"/>
        <v>2865942263.4244246</v>
      </c>
      <c r="G556" s="38">
        <f t="shared" si="342"/>
        <v>1274382342.1976185</v>
      </c>
      <c r="H556" s="18">
        <f t="shared" si="349"/>
        <v>0.0011842705435636683</v>
      </c>
      <c r="I556" s="50">
        <f t="shared" si="357"/>
        <v>0.021235321685845944</v>
      </c>
      <c r="J556" s="3">
        <f t="shared" si="350"/>
        <v>4.014836595564613</v>
      </c>
      <c r="K556" s="12">
        <f t="shared" si="368"/>
        <v>0.6917269931826661</v>
      </c>
      <c r="L556" s="3">
        <f t="shared" si="351"/>
        <v>1092.9835329276139</v>
      </c>
      <c r="M556" s="12">
        <f t="shared" si="369"/>
        <v>0.6813412416979862</v>
      </c>
      <c r="N556" s="37">
        <f t="shared" si="352"/>
        <v>198039.67878810724</v>
      </c>
      <c r="O556" s="1">
        <f t="shared" si="343"/>
        <v>443177.60568218364</v>
      </c>
      <c r="P556">
        <f t="shared" si="353"/>
        <v>665.7158595693688</v>
      </c>
      <c r="Q556" s="1">
        <f t="shared" si="354"/>
        <v>131838.1549932665</v>
      </c>
      <c r="R556" s="1">
        <f>+Q556*1000/'Material Properties'!AE$35</f>
        <v>113062610.39554681</v>
      </c>
      <c r="S556" s="1">
        <f t="shared" si="355"/>
        <v>807.5900742539058</v>
      </c>
      <c r="T556" s="1">
        <f t="shared" si="356"/>
        <v>336.937320097428</v>
      </c>
      <c r="U556">
        <f t="shared" si="344"/>
        <v>2.5390622911424474E-05</v>
      </c>
      <c r="V556">
        <f>+'Material Properties'!AE$31+'Material Properties'!AE$33</f>
        <v>0.00029034311030761144</v>
      </c>
      <c r="W556">
        <f t="shared" si="360"/>
        <v>0.0003157337332190359</v>
      </c>
      <c r="X556" s="1">
        <f>+'Volcano Summary'!E$12*10^9/Q556/3600/24/365</f>
        <v>0</v>
      </c>
      <c r="Y556" s="3">
        <f t="shared" si="361"/>
        <v>2000</v>
      </c>
      <c r="Z556" s="1">
        <f>+Y556*'Volcano Summary'!B$19*'Volcano Summary'!B$20/1000</f>
        <v>81000000</v>
      </c>
      <c r="AA556" s="1">
        <f t="shared" si="345"/>
        <v>614389.6659061786</v>
      </c>
      <c r="AB556" s="3">
        <f t="shared" si="338"/>
        <v>170.66379608504963</v>
      </c>
      <c r="AC556" s="1">
        <f t="shared" si="362"/>
        <v>125187789.17547192</v>
      </c>
      <c r="AD556" s="36">
        <f t="shared" si="363"/>
        <v>34774.38588207553</v>
      </c>
      <c r="AE556" s="36">
        <f t="shared" si="370"/>
        <v>1448.9327450864803</v>
      </c>
      <c r="AG556" s="1">
        <f t="shared" si="346"/>
        <v>81000000000.00002</v>
      </c>
      <c r="AH556" s="1">
        <f t="shared" si="364"/>
        <v>81000000</v>
      </c>
      <c r="AI556" s="1">
        <f t="shared" si="365"/>
        <v>81081000000.00002</v>
      </c>
      <c r="AJ556" s="1">
        <f t="shared" si="366"/>
        <v>5200200000000</v>
      </c>
      <c r="AK556" s="1">
        <f t="shared" si="367"/>
        <v>5205400200000</v>
      </c>
      <c r="AL556" s="39">
        <f>+AJ556/('Volcano Summary'!C$8)*10^6</f>
        <v>361012.8503076644</v>
      </c>
      <c r="AM556" s="1">
        <f t="shared" si="347"/>
        <v>1448.9327450864803</v>
      </c>
    </row>
    <row r="557" spans="1:39" ht="12.75">
      <c r="A557" s="1">
        <f t="shared" si="358"/>
        <v>614389.6659061786</v>
      </c>
      <c r="B557" s="1">
        <f t="shared" si="359"/>
        <v>1455.9308068091998</v>
      </c>
      <c r="C557" s="1">
        <f t="shared" si="371"/>
        <v>142000</v>
      </c>
      <c r="D557" s="1">
        <f t="shared" si="348"/>
        <v>425.20585056228134</v>
      </c>
      <c r="E557" s="38">
        <f t="shared" si="340"/>
        <v>4489228579.2265415</v>
      </c>
      <c r="F557" s="38">
        <f t="shared" si="341"/>
        <v>2886340686.4229717</v>
      </c>
      <c r="G557" s="38">
        <f t="shared" si="342"/>
        <v>1283452793.6194012</v>
      </c>
      <c r="H557" s="18">
        <f t="shared" si="349"/>
        <v>0.0011759010355544563</v>
      </c>
      <c r="I557" s="50">
        <f t="shared" si="357"/>
        <v>0.021212995287710368</v>
      </c>
      <c r="J557" s="3">
        <f t="shared" si="350"/>
        <v>3.9944383126030423</v>
      </c>
      <c r="K557" s="12">
        <f t="shared" si="368"/>
        <v>0.6907274773175491</v>
      </c>
      <c r="L557" s="3">
        <f t="shared" si="351"/>
        <v>1091.4042185561357</v>
      </c>
      <c r="M557" s="12">
        <f t="shared" si="369"/>
        <v>0.68087208118987</v>
      </c>
      <c r="N557" s="37">
        <f t="shared" si="352"/>
        <v>200868.81705650876</v>
      </c>
      <c r="O557" s="1">
        <f t="shared" si="343"/>
        <v>444797.1251603281</v>
      </c>
      <c r="P557">
        <f t="shared" si="353"/>
        <v>666.931124750021</v>
      </c>
      <c r="Q557" s="1">
        <f t="shared" si="354"/>
        <v>133965.6660867036</v>
      </c>
      <c r="R557" s="1">
        <f>+Q557*1000/'Material Properties'!AE$35</f>
        <v>114887135.00211285</v>
      </c>
      <c r="S557" s="1">
        <f t="shared" si="355"/>
        <v>809.0643310007947</v>
      </c>
      <c r="T557" s="1">
        <f t="shared" si="356"/>
        <v>337.541335939125</v>
      </c>
      <c r="U557">
        <f t="shared" si="344"/>
        <v>2.5345308297515096E-05</v>
      </c>
      <c r="V557">
        <f>+'Material Properties'!AE$31+'Material Properties'!AE$33</f>
        <v>0.00029034311030761144</v>
      </c>
      <c r="W557">
        <f t="shared" si="360"/>
        <v>0.00031568841860512653</v>
      </c>
      <c r="X557" s="1">
        <f>+'Volcano Summary'!E$12*10^9/Q557/3600/24/365</f>
        <v>0</v>
      </c>
      <c r="Y557" s="3">
        <f t="shared" si="361"/>
        <v>2000</v>
      </c>
      <c r="Z557" s="1">
        <f>+Y557*'Volcano Summary'!B$19*'Volcano Summary'!B$20/1000</f>
        <v>81000000</v>
      </c>
      <c r="AA557" s="1">
        <f t="shared" si="345"/>
        <v>604632.5328429762</v>
      </c>
      <c r="AB557" s="3">
        <f t="shared" si="338"/>
        <v>167.95348134527114</v>
      </c>
      <c r="AC557" s="1">
        <f t="shared" si="362"/>
        <v>125792421.7083149</v>
      </c>
      <c r="AD557" s="36">
        <f t="shared" si="363"/>
        <v>34942.3393634208</v>
      </c>
      <c r="AE557" s="36">
        <f t="shared" si="370"/>
        <v>1455.9308068091998</v>
      </c>
      <c r="AG557" s="1">
        <f t="shared" si="346"/>
        <v>80999999999.99998</v>
      </c>
      <c r="AH557" s="1">
        <f t="shared" si="364"/>
        <v>81000000</v>
      </c>
      <c r="AI557" s="1">
        <f t="shared" si="365"/>
        <v>81080999999.99998</v>
      </c>
      <c r="AJ557" s="1">
        <f t="shared" si="366"/>
        <v>5281200000000</v>
      </c>
      <c r="AK557" s="1">
        <f t="shared" si="367"/>
        <v>5286481200000</v>
      </c>
      <c r="AL557" s="39">
        <f>+AJ557/('Volcano Summary'!C$8)*10^6</f>
        <v>366636.10342772154</v>
      </c>
      <c r="AM557" s="1">
        <f t="shared" si="347"/>
        <v>1455.9308068091998</v>
      </c>
    </row>
    <row r="558" spans="1:39" ht="12.75">
      <c r="A558" s="1">
        <f t="shared" si="358"/>
        <v>604632.5328429762</v>
      </c>
      <c r="B558" s="1">
        <f t="shared" si="359"/>
        <v>1462.8192959017076</v>
      </c>
      <c r="C558" s="1">
        <f t="shared" si="371"/>
        <v>144000</v>
      </c>
      <c r="D558" s="1">
        <f t="shared" si="348"/>
        <v>428.1897878766651</v>
      </c>
      <c r="E558" s="38">
        <f t="shared" si="340"/>
        <v>4520732324.183575</v>
      </c>
      <c r="F558" s="38">
        <f t="shared" si="341"/>
        <v>2906595957.2873125</v>
      </c>
      <c r="G558" s="38">
        <f t="shared" si="342"/>
        <v>1292459590.3910513</v>
      </c>
      <c r="H558" s="18">
        <f t="shared" si="349"/>
        <v>0.001167706503416235</v>
      </c>
      <c r="I558" s="50">
        <f t="shared" si="357"/>
        <v>0.021191027076265648</v>
      </c>
      <c r="J558" s="3">
        <f t="shared" si="350"/>
        <v>3.974490013102492</v>
      </c>
      <c r="K558" s="12">
        <f t="shared" si="368"/>
        <v>0.6897500106420221</v>
      </c>
      <c r="L558" s="3">
        <f t="shared" si="351"/>
        <v>1089.8597436536588</v>
      </c>
      <c r="M558" s="12">
        <f t="shared" si="369"/>
        <v>0.6804132703013573</v>
      </c>
      <c r="N558" s="37">
        <f t="shared" si="352"/>
        <v>203697.9553249103</v>
      </c>
      <c r="O558" s="1">
        <f t="shared" si="343"/>
        <v>446396.9959451358</v>
      </c>
      <c r="P558">
        <f t="shared" si="353"/>
        <v>668.1294754350655</v>
      </c>
      <c r="Q558" s="1">
        <f t="shared" si="354"/>
        <v>136096.60803842772</v>
      </c>
      <c r="R558" s="1">
        <f>+Q558*1000/'Material Properties'!AE$35</f>
        <v>116714601.86612968</v>
      </c>
      <c r="S558" s="1">
        <f t="shared" si="355"/>
        <v>810.5180685147894</v>
      </c>
      <c r="T558" s="1">
        <f t="shared" si="356"/>
        <v>338.1289738702361</v>
      </c>
      <c r="U558">
        <f t="shared" si="344"/>
        <v>2.5301377348601493E-05</v>
      </c>
      <c r="V558">
        <f>+'Material Properties'!AE$31+'Material Properties'!AE$33</f>
        <v>0.00029034311030761144</v>
      </c>
      <c r="W558">
        <f t="shared" si="360"/>
        <v>0.00031564448765621295</v>
      </c>
      <c r="X558" s="1">
        <f>+'Volcano Summary'!E$12*10^9/Q558/3600/24/365</f>
        <v>0</v>
      </c>
      <c r="Y558" s="3">
        <f t="shared" si="361"/>
        <v>2000</v>
      </c>
      <c r="Z558" s="1">
        <f>+Y558*'Volcano Summary'!B$19*'Volcano Summary'!B$20/1000</f>
        <v>81000000</v>
      </c>
      <c r="AA558" s="1">
        <f t="shared" si="345"/>
        <v>595165.4575926621</v>
      </c>
      <c r="AB558" s="3">
        <f t="shared" si="338"/>
        <v>165.3237382201839</v>
      </c>
      <c r="AC558" s="1">
        <f t="shared" si="362"/>
        <v>126387587.16590756</v>
      </c>
      <c r="AD558" s="36">
        <f t="shared" si="363"/>
        <v>35107.66310164098</v>
      </c>
      <c r="AE558" s="36">
        <f t="shared" si="370"/>
        <v>1462.8192959017076</v>
      </c>
      <c r="AG558" s="1">
        <f t="shared" si="346"/>
        <v>81000000000</v>
      </c>
      <c r="AH558" s="1">
        <f t="shared" si="364"/>
        <v>81000000</v>
      </c>
      <c r="AI558" s="1">
        <f t="shared" si="365"/>
        <v>81081000000</v>
      </c>
      <c r="AJ558" s="1">
        <f t="shared" si="366"/>
        <v>5362200000000</v>
      </c>
      <c r="AK558" s="1">
        <f t="shared" si="367"/>
        <v>5367562200000</v>
      </c>
      <c r="AL558" s="39">
        <f>+AJ558/('Volcano Summary'!C$8)*10^6</f>
        <v>372259.3565477786</v>
      </c>
      <c r="AM558" s="1">
        <f t="shared" si="347"/>
        <v>1462.8192959017076</v>
      </c>
    </row>
    <row r="559" spans="1:39" ht="12.75">
      <c r="A559" s="1">
        <f t="shared" si="358"/>
        <v>595165.4575926621</v>
      </c>
      <c r="B559" s="1">
        <f t="shared" si="359"/>
        <v>1469.6014250633868</v>
      </c>
      <c r="C559" s="1">
        <f t="shared" si="371"/>
        <v>146000</v>
      </c>
      <c r="D559" s="1">
        <f t="shared" si="348"/>
        <v>431.15307436145434</v>
      </c>
      <c r="E559" s="38">
        <f t="shared" si="340"/>
        <v>4552018042.285431</v>
      </c>
      <c r="F559" s="38">
        <f t="shared" si="341"/>
        <v>2926711048.213894</v>
      </c>
      <c r="G559" s="38">
        <f t="shared" si="342"/>
        <v>1301404054.1423569</v>
      </c>
      <c r="H559" s="18">
        <f t="shared" si="349"/>
        <v>0.0011596809340638687</v>
      </c>
      <c r="I559" s="50">
        <f t="shared" si="357"/>
        <v>0.021169406402377525</v>
      </c>
      <c r="J559" s="3">
        <f t="shared" si="350"/>
        <v>3.9549756990286813</v>
      </c>
      <c r="K559" s="12">
        <f t="shared" si="368"/>
        <v>0.6887938092524054</v>
      </c>
      <c r="L559" s="3">
        <f t="shared" si="351"/>
        <v>1088.3488695901717</v>
      </c>
      <c r="M559" s="12">
        <f t="shared" si="369"/>
        <v>0.6799644410776597</v>
      </c>
      <c r="N559" s="37">
        <f t="shared" si="352"/>
        <v>206527.09359331182</v>
      </c>
      <c r="O559" s="1">
        <f t="shared" si="343"/>
        <v>447977.67688865773</v>
      </c>
      <c r="P559">
        <f t="shared" si="353"/>
        <v>669.3113452561952</v>
      </c>
      <c r="Q559" s="1">
        <f t="shared" si="354"/>
        <v>138230.92684479165</v>
      </c>
      <c r="R559" s="1">
        <f>+Q559*1000/'Material Properties'!AE$35</f>
        <v>118544964.67480323</v>
      </c>
      <c r="S559" s="1">
        <f t="shared" si="355"/>
        <v>811.951812841118</v>
      </c>
      <c r="T559" s="1">
        <f t="shared" si="356"/>
        <v>338.70090590960797</v>
      </c>
      <c r="U559">
        <f t="shared" si="344"/>
        <v>2.5258766542522685E-05</v>
      </c>
      <c r="V559">
        <f>+'Material Properties'!AE$31+'Material Properties'!AE$33</f>
        <v>0.00029034311030761144</v>
      </c>
      <c r="W559">
        <f t="shared" si="360"/>
        <v>0.0003156018768501341</v>
      </c>
      <c r="X559" s="1">
        <f>+'Volcano Summary'!E$12*10^9/Q559/3600/24/365</f>
        <v>0</v>
      </c>
      <c r="Y559" s="3">
        <f t="shared" si="361"/>
        <v>2000</v>
      </c>
      <c r="Z559" s="1">
        <f>+Y559*'Volcano Summary'!B$19*'Volcano Summary'!B$20/1000</f>
        <v>81000000</v>
      </c>
      <c r="AA559" s="1">
        <f t="shared" si="345"/>
        <v>585975.9595690793</v>
      </c>
      <c r="AB559" s="3">
        <f t="shared" si="338"/>
        <v>162.77109988029983</v>
      </c>
      <c r="AC559" s="1">
        <f t="shared" si="362"/>
        <v>126973563.12547664</v>
      </c>
      <c r="AD559" s="36">
        <f t="shared" si="363"/>
        <v>35270.43420152128</v>
      </c>
      <c r="AE559" s="36">
        <f t="shared" si="370"/>
        <v>1469.6014250633868</v>
      </c>
      <c r="AG559" s="1">
        <f t="shared" si="346"/>
        <v>81000000000</v>
      </c>
      <c r="AH559" s="1">
        <f t="shared" si="364"/>
        <v>81000000</v>
      </c>
      <c r="AI559" s="1">
        <f t="shared" si="365"/>
        <v>81081000000</v>
      </c>
      <c r="AJ559" s="1">
        <f t="shared" si="366"/>
        <v>5443200000000</v>
      </c>
      <c r="AK559" s="1">
        <f t="shared" si="367"/>
        <v>5448643200000</v>
      </c>
      <c r="AL559" s="39">
        <f>+AJ559/('Volcano Summary'!C$8)*10^6</f>
        <v>377882.6096678357</v>
      </c>
      <c r="AM559" s="1">
        <f t="shared" si="347"/>
        <v>1469.6014250633868</v>
      </c>
    </row>
    <row r="560" spans="1:39" ht="12.75">
      <c r="A560" s="1">
        <f t="shared" si="358"/>
        <v>585975.9595690793</v>
      </c>
      <c r="B560" s="1">
        <f t="shared" si="359"/>
        <v>1476.2802706208731</v>
      </c>
      <c r="C560" s="1">
        <f t="shared" si="371"/>
        <v>148000</v>
      </c>
      <c r="D560" s="1">
        <f t="shared" si="348"/>
        <v>434.0961329254202</v>
      </c>
      <c r="E560" s="38">
        <f t="shared" si="340"/>
        <v>4583090198.508638</v>
      </c>
      <c r="F560" s="38">
        <f t="shared" si="341"/>
        <v>2946688829.9505916</v>
      </c>
      <c r="G560" s="38">
        <f t="shared" si="342"/>
        <v>1310287461.3925452</v>
      </c>
      <c r="H560" s="18">
        <f t="shared" si="349"/>
        <v>0.0011518185997890528</v>
      </c>
      <c r="I560" s="50">
        <f t="shared" si="357"/>
        <v>0.02114812307475209</v>
      </c>
      <c r="J560" s="3">
        <f t="shared" si="350"/>
        <v>3.935880150812751</v>
      </c>
      <c r="K560" s="12">
        <f t="shared" si="368"/>
        <v>0.6878581273898249</v>
      </c>
      <c r="L560" s="3">
        <f t="shared" si="351"/>
        <v>1086.8704180074828</v>
      </c>
      <c r="M560" s="12">
        <f t="shared" si="369"/>
        <v>0.6795252434686934</v>
      </c>
      <c r="N560" s="37">
        <f t="shared" si="352"/>
        <v>209356.23186171334</v>
      </c>
      <c r="O560" s="1">
        <f t="shared" si="343"/>
        <v>449539.61061529827</v>
      </c>
      <c r="P560">
        <f t="shared" si="353"/>
        <v>670.4771514490992</v>
      </c>
      <c r="Q560" s="1">
        <f t="shared" si="354"/>
        <v>140368.5699767587</v>
      </c>
      <c r="R560" s="1">
        <f>+Q560*1000/'Material Properties'!AE$35</f>
        <v>120378178.37994537</v>
      </c>
      <c r="S560" s="1">
        <f t="shared" si="355"/>
        <v>813.366070134766</v>
      </c>
      <c r="T560" s="1">
        <f t="shared" si="356"/>
        <v>339.25776756145945</v>
      </c>
      <c r="U560">
        <f t="shared" si="344"/>
        <v>2.5217416205114738E-05</v>
      </c>
      <c r="V560">
        <f>+'Material Properties'!AE$31+'Material Properties'!AE$33</f>
        <v>0.00029034311030761144</v>
      </c>
      <c r="W560">
        <f t="shared" si="360"/>
        <v>0.0003155605265127262</v>
      </c>
      <c r="X560" s="1">
        <f>+'Volcano Summary'!E$12*10^9/Q560/3600/24/365</f>
        <v>0</v>
      </c>
      <c r="Y560" s="3">
        <f t="shared" si="361"/>
        <v>2000</v>
      </c>
      <c r="Z560" s="1">
        <f>+Y560*'Volcano Summary'!B$19*'Volcano Summary'!B$20/1000</f>
        <v>81000000</v>
      </c>
      <c r="AA560" s="1">
        <f t="shared" si="345"/>
        <v>577052.2561668288</v>
      </c>
      <c r="AB560" s="3">
        <f t="shared" si="338"/>
        <v>160.29229337967467</v>
      </c>
      <c r="AC560" s="1">
        <f t="shared" si="362"/>
        <v>127550615.38164347</v>
      </c>
      <c r="AD560" s="36">
        <f t="shared" si="363"/>
        <v>35430.726494900955</v>
      </c>
      <c r="AE560" s="36">
        <f t="shared" si="370"/>
        <v>1476.2802706208731</v>
      </c>
      <c r="AG560" s="1">
        <f t="shared" si="346"/>
        <v>81000000000</v>
      </c>
      <c r="AH560" s="1">
        <f t="shared" si="364"/>
        <v>81000000</v>
      </c>
      <c r="AI560" s="1">
        <f t="shared" si="365"/>
        <v>81081000000</v>
      </c>
      <c r="AJ560" s="1">
        <f t="shared" si="366"/>
        <v>5524200000000</v>
      </c>
      <c r="AK560" s="1">
        <f t="shared" si="367"/>
        <v>5529724200000</v>
      </c>
      <c r="AL560" s="39">
        <f>+AJ560/('Volcano Summary'!C$8)*10^6</f>
        <v>383505.8627878928</v>
      </c>
      <c r="AM560" s="1">
        <f t="shared" si="347"/>
        <v>1476.2802706208731</v>
      </c>
    </row>
    <row r="561" spans="1:39" ht="12.75">
      <c r="A561" s="1">
        <f t="shared" si="358"/>
        <v>577052.2561668288</v>
      </c>
      <c r="B561" s="1">
        <f t="shared" si="359"/>
        <v>1482.8587800534415</v>
      </c>
      <c r="C561" s="1">
        <f t="shared" si="371"/>
        <v>150000</v>
      </c>
      <c r="D561" s="1">
        <f t="shared" si="348"/>
        <v>437.01937223683166</v>
      </c>
      <c r="E561" s="38">
        <f t="shared" si="340"/>
        <v>4613953107.481676</v>
      </c>
      <c r="F561" s="38">
        <f t="shared" si="341"/>
        <v>2966532076.5793023</v>
      </c>
      <c r="G561" s="38">
        <f t="shared" si="342"/>
        <v>1319111045.6769283</v>
      </c>
      <c r="H561" s="18">
        <f t="shared" si="349"/>
        <v>0.0011441140410797111</v>
      </c>
      <c r="I561" s="50">
        <f t="shared" si="357"/>
        <v>0.02112716733435205</v>
      </c>
      <c r="J561" s="3">
        <f t="shared" si="350"/>
        <v>3.917188879547279</v>
      </c>
      <c r="K561" s="12">
        <f t="shared" si="368"/>
        <v>0.6869422550978167</v>
      </c>
      <c r="L561" s="3">
        <f t="shared" si="351"/>
        <v>1085.4232671180491</v>
      </c>
      <c r="M561" s="12">
        <f t="shared" si="369"/>
        <v>0.6790953442295875</v>
      </c>
      <c r="N561" s="37">
        <f t="shared" si="352"/>
        <v>212185.37013011487</v>
      </c>
      <c r="O561" s="1">
        <f t="shared" si="343"/>
        <v>451083.22429414483</v>
      </c>
      <c r="P561">
        <f t="shared" si="353"/>
        <v>671.6272956738319</v>
      </c>
      <c r="Q561" s="1">
        <f t="shared" si="354"/>
        <v>142509.48632204012</v>
      </c>
      <c r="R561" s="1">
        <f>+Q561*1000/'Material Properties'!AE$35</f>
        <v>122214199.14835168</v>
      </c>
      <c r="S561" s="1">
        <f t="shared" si="355"/>
        <v>814.7613276556779</v>
      </c>
      <c r="T561" s="1">
        <f t="shared" si="356"/>
        <v>339.80016026833664</v>
      </c>
      <c r="U561">
        <f t="shared" si="344"/>
        <v>2.5177270222720224E-05</v>
      </c>
      <c r="V561">
        <f>+'Material Properties'!AE$31+'Material Properties'!AE$33</f>
        <v>0.00029034311030761144</v>
      </c>
      <c r="W561">
        <f t="shared" si="360"/>
        <v>0.00031552038053033165</v>
      </c>
      <c r="X561" s="1">
        <f>+'Volcano Summary'!E$12*10^9/Q561/3600/24/365</f>
        <v>0</v>
      </c>
      <c r="Y561" s="3">
        <f t="shared" si="361"/>
        <v>2000</v>
      </c>
      <c r="Z561" s="1">
        <f>+Y561*'Volcano Summary'!B$19*'Volcano Summary'!B$20/1000</f>
        <v>81000000</v>
      </c>
      <c r="AA561" s="1">
        <f t="shared" si="345"/>
        <v>568383.2149738987</v>
      </c>
      <c r="AB561" s="3">
        <f aca="true" t="shared" si="372" ref="AB561:AB624">+AA561/3600</f>
        <v>157.88422638163854</v>
      </c>
      <c r="AC561" s="1">
        <f t="shared" si="362"/>
        <v>128118998.59661737</v>
      </c>
      <c r="AD561" s="36">
        <f t="shared" si="363"/>
        <v>35588.610721282595</v>
      </c>
      <c r="AE561" s="36">
        <f t="shared" si="370"/>
        <v>1482.8587800534415</v>
      </c>
      <c r="AG561" s="1">
        <f t="shared" si="346"/>
        <v>81000000000</v>
      </c>
      <c r="AH561" s="1">
        <f t="shared" si="364"/>
        <v>81000000</v>
      </c>
      <c r="AI561" s="1">
        <f t="shared" si="365"/>
        <v>81081000000</v>
      </c>
      <c r="AJ561" s="1">
        <f t="shared" si="366"/>
        <v>5605200000000</v>
      </c>
      <c r="AK561" s="1">
        <f t="shared" si="367"/>
        <v>5610805200000</v>
      </c>
      <c r="AL561" s="39">
        <f>+AJ561/('Volcano Summary'!C$8)*10^6</f>
        <v>389129.11590794986</v>
      </c>
      <c r="AM561" s="1">
        <f t="shared" si="347"/>
        <v>1482.8587800534415</v>
      </c>
    </row>
    <row r="562" spans="1:39" ht="12.75">
      <c r="A562" s="1">
        <f t="shared" si="358"/>
        <v>568383.2149738987</v>
      </c>
      <c r="B562" s="1">
        <f t="shared" si="359"/>
        <v>1489.3397790099154</v>
      </c>
      <c r="C562" s="1">
        <f t="shared" si="371"/>
        <v>152000</v>
      </c>
      <c r="D562" s="1">
        <f t="shared" si="348"/>
        <v>439.92318738587164</v>
      </c>
      <c r="E562" s="38">
        <f t="shared" si="340"/>
        <v>4644610940.478618</v>
      </c>
      <c r="F562" s="38">
        <f t="shared" si="341"/>
        <v>2986243470.012488</v>
      </c>
      <c r="G562" s="38">
        <f t="shared" si="342"/>
        <v>1327875999.5463574</v>
      </c>
      <c r="H562" s="18">
        <f t="shared" si="349"/>
        <v>0.0011365620506868918</v>
      </c>
      <c r="I562" s="50">
        <f t="shared" si="357"/>
        <v>0.021106529830563256</v>
      </c>
      <c r="J562" s="3">
        <f t="shared" si="350"/>
        <v>3.8988880827109025</v>
      </c>
      <c r="K562" s="12">
        <f t="shared" si="368"/>
        <v>0.6860455160528343</v>
      </c>
      <c r="L562" s="3">
        <f t="shared" si="351"/>
        <v>1084.0063482770054</v>
      </c>
      <c r="M562" s="12">
        <f t="shared" si="369"/>
        <v>0.6786744259023508</v>
      </c>
      <c r="N562" s="37">
        <f t="shared" si="352"/>
        <v>215014.50839851642</v>
      </c>
      <c r="O562" s="1">
        <f t="shared" si="343"/>
        <v>452608.93036513</v>
      </c>
      <c r="P562">
        <f t="shared" si="353"/>
        <v>672.7621647842052</v>
      </c>
      <c r="Q562" s="1">
        <f t="shared" si="354"/>
        <v>144653.62613019758</v>
      </c>
      <c r="R562" s="1">
        <f>+Q562*1000/'Material Properties'!AE$35</f>
        <v>124052984.31472231</v>
      </c>
      <c r="S562" s="1">
        <f t="shared" si="355"/>
        <v>816.1380547021205</v>
      </c>
      <c r="T562" s="1">
        <f t="shared" si="356"/>
        <v>340.3286536687589</v>
      </c>
      <c r="U562">
        <f t="shared" si="344"/>
        <v>2.513827578010735E-05</v>
      </c>
      <c r="V562">
        <f>+'Material Properties'!AE$31+'Material Properties'!AE$33</f>
        <v>0.00029034311030761144</v>
      </c>
      <c r="W562">
        <f t="shared" si="360"/>
        <v>0.0003154813860877188</v>
      </c>
      <c r="X562" s="1">
        <f>+'Volcano Summary'!E$12*10^9/Q562/3600/24/365</f>
        <v>0</v>
      </c>
      <c r="Y562" s="3">
        <f t="shared" si="361"/>
        <v>2000</v>
      </c>
      <c r="Z562" s="1">
        <f>+Y562*'Volcano Summary'!B$19*'Volcano Summary'!B$20/1000</f>
        <v>81000000</v>
      </c>
      <c r="AA562" s="1">
        <f t="shared" si="345"/>
        <v>559958.3098393591</v>
      </c>
      <c r="AB562" s="3">
        <f t="shared" si="372"/>
        <v>155.54397495537754</v>
      </c>
      <c r="AC562" s="1">
        <f t="shared" si="362"/>
        <v>128678956.90645672</v>
      </c>
      <c r="AD562" s="36">
        <f t="shared" si="363"/>
        <v>35744.15469623797</v>
      </c>
      <c r="AE562" s="36">
        <f t="shared" si="370"/>
        <v>1489.3397790099154</v>
      </c>
      <c r="AG562" s="1">
        <f t="shared" si="346"/>
        <v>80999999999.99998</v>
      </c>
      <c r="AH562" s="1">
        <f t="shared" si="364"/>
        <v>81000000</v>
      </c>
      <c r="AI562" s="1">
        <f t="shared" si="365"/>
        <v>81080999999.99998</v>
      </c>
      <c r="AJ562" s="1">
        <f t="shared" si="366"/>
        <v>5686200000000</v>
      </c>
      <c r="AK562" s="1">
        <f t="shared" si="367"/>
        <v>5691886200000</v>
      </c>
      <c r="AL562" s="39">
        <f>+AJ562/('Volcano Summary'!C$8)*10^6</f>
        <v>394752.3690280069</v>
      </c>
      <c r="AM562" s="1">
        <f t="shared" si="347"/>
        <v>1489.3397790099154</v>
      </c>
    </row>
    <row r="563" spans="1:39" ht="12.75">
      <c r="A563" s="1">
        <f t="shared" si="358"/>
        <v>559958.3098393591</v>
      </c>
      <c r="B563" s="1">
        <f t="shared" si="359"/>
        <v>1495.7259778575926</v>
      </c>
      <c r="C563" s="1">
        <f t="shared" si="371"/>
        <v>154000</v>
      </c>
      <c r="D563" s="1">
        <f t="shared" si="348"/>
        <v>442.8079605079555</v>
      </c>
      <c r="E563" s="38">
        <f t="shared" si="340"/>
        <v>4675067731.999991</v>
      </c>
      <c r="F563" s="38">
        <f t="shared" si="341"/>
        <v>3005825604.224328</v>
      </c>
      <c r="G563" s="38">
        <f t="shared" si="342"/>
        <v>1336583476.4486642</v>
      </c>
      <c r="H563" s="18">
        <f t="shared" si="349"/>
        <v>0.0011291576588335001</v>
      </c>
      <c r="I563" s="50">
        <f t="shared" si="357"/>
        <v>0.02108620159897038</v>
      </c>
      <c r="J563" s="3">
        <f t="shared" si="350"/>
        <v>3.8809646031184597</v>
      </c>
      <c r="K563" s="12">
        <f t="shared" si="368"/>
        <v>0.6851672655528046</v>
      </c>
      <c r="L563" s="3">
        <f t="shared" si="351"/>
        <v>1082.6186428039236</v>
      </c>
      <c r="M563" s="12">
        <f t="shared" si="369"/>
        <v>0.6782621858717246</v>
      </c>
      <c r="N563" s="37">
        <f t="shared" si="352"/>
        <v>217843.64666691798</v>
      </c>
      <c r="O563" s="1">
        <f t="shared" si="343"/>
        <v>454117.1272223411</v>
      </c>
      <c r="P563">
        <f t="shared" si="353"/>
        <v>673.8821315499774</v>
      </c>
      <c r="Q563" s="1">
        <f t="shared" si="354"/>
        <v>146800.94096052283</v>
      </c>
      <c r="R563" s="1">
        <f>+Q563*1000/'Material Properties'!AE$35</f>
        <v>125894492.336964</v>
      </c>
      <c r="S563" s="1">
        <f t="shared" si="355"/>
        <v>817.4967034867792</v>
      </c>
      <c r="T563" s="1">
        <f t="shared" si="356"/>
        <v>340.8437876774708</v>
      </c>
      <c r="U563">
        <f t="shared" si="344"/>
        <v>2.5100383121215962E-05</v>
      </c>
      <c r="V563">
        <f>+'Material Properties'!AE$31+'Material Properties'!AE$33</f>
        <v>0.00029034311030761144</v>
      </c>
      <c r="W563">
        <f t="shared" si="360"/>
        <v>0.0003154434934288274</v>
      </c>
      <c r="X563" s="1">
        <f>+'Volcano Summary'!E$12*10^9/Q563/3600/24/365</f>
        <v>0</v>
      </c>
      <c r="Y563" s="3">
        <f t="shared" si="361"/>
        <v>2000</v>
      </c>
      <c r="Z563" s="1">
        <f>+Y563*'Volcano Summary'!B$19*'Volcano Summary'!B$20/1000</f>
        <v>81000000</v>
      </c>
      <c r="AA563" s="1">
        <f t="shared" si="345"/>
        <v>551767.5804392985</v>
      </c>
      <c r="AB563" s="3">
        <f t="shared" si="372"/>
        <v>153.26877234424958</v>
      </c>
      <c r="AC563" s="1">
        <f t="shared" si="362"/>
        <v>129230724.48689602</v>
      </c>
      <c r="AD563" s="36">
        <f t="shared" si="363"/>
        <v>35897.42346858222</v>
      </c>
      <c r="AE563" s="36">
        <f t="shared" si="370"/>
        <v>1495.7259778575926</v>
      </c>
      <c r="AG563" s="1">
        <f t="shared" si="346"/>
        <v>81000000000</v>
      </c>
      <c r="AH563" s="1">
        <f t="shared" si="364"/>
        <v>81000000</v>
      </c>
      <c r="AI563" s="1">
        <f t="shared" si="365"/>
        <v>81081000000</v>
      </c>
      <c r="AJ563" s="1">
        <f t="shared" si="366"/>
        <v>5767200000000</v>
      </c>
      <c r="AK563" s="1">
        <f t="shared" si="367"/>
        <v>5772967200000</v>
      </c>
      <c r="AL563" s="39">
        <f>+AJ563/('Volcano Summary'!C$8)*10^6</f>
        <v>400375.62214806397</v>
      </c>
      <c r="AM563" s="1">
        <f t="shared" si="347"/>
        <v>1495.7259778575926</v>
      </c>
    </row>
    <row r="564" spans="1:39" ht="12.75">
      <c r="A564" s="1">
        <f t="shared" si="358"/>
        <v>551767.5804392985</v>
      </c>
      <c r="B564" s="1">
        <f t="shared" si="359"/>
        <v>1502.0199777999694</v>
      </c>
      <c r="C564" s="1">
        <f t="shared" si="371"/>
        <v>156000</v>
      </c>
      <c r="D564" s="1">
        <f t="shared" si="348"/>
        <v>445.6740613707347</v>
      </c>
      <c r="E564" s="38">
        <f t="shared" si="340"/>
        <v>4705327385.970227</v>
      </c>
      <c r="F564" s="38">
        <f t="shared" si="341"/>
        <v>3025280989.2353578</v>
      </c>
      <c r="G564" s="38">
        <f t="shared" si="342"/>
        <v>1345234592.5004883</v>
      </c>
      <c r="H564" s="18">
        <f t="shared" si="349"/>
        <v>0.0011218961194694123</v>
      </c>
      <c r="I564" s="50">
        <f t="shared" si="357"/>
        <v>0.02106617404061375</v>
      </c>
      <c r="J564" s="3">
        <f t="shared" si="350"/>
        <v>3.863405890823184</v>
      </c>
      <c r="K564" s="12">
        <f t="shared" si="368"/>
        <v>0.6843068886503361</v>
      </c>
      <c r="L564" s="3">
        <f t="shared" si="351"/>
        <v>1081.2591790331337</v>
      </c>
      <c r="M564" s="12">
        <f t="shared" si="369"/>
        <v>0.6778583354889333</v>
      </c>
      <c r="N564" s="37">
        <f t="shared" si="352"/>
        <v>220672.78493531948</v>
      </c>
      <c r="O564" s="1">
        <f t="shared" si="343"/>
        <v>455608.1998575093</v>
      </c>
      <c r="P564">
        <f t="shared" si="353"/>
        <v>674.9875553352886</v>
      </c>
      <c r="Q564" s="1">
        <f t="shared" si="354"/>
        <v>148951.38363252117</v>
      </c>
      <c r="R564" s="1">
        <f>+Q564*1000/'Material Properties'!AE$35</f>
        <v>127738682.75372557</v>
      </c>
      <c r="S564" s="1">
        <f t="shared" si="355"/>
        <v>818.8377099597793</v>
      </c>
      <c r="T564" s="1">
        <f t="shared" si="356"/>
        <v>341.3460744043533</v>
      </c>
      <c r="U564">
        <f t="shared" si="344"/>
        <v>2.5063545330443942E-05</v>
      </c>
      <c r="V564">
        <f>+'Material Properties'!AE$31+'Material Properties'!AE$33</f>
        <v>0.00029034311030761144</v>
      </c>
      <c r="W564">
        <f t="shared" si="360"/>
        <v>0.0003154066556380554</v>
      </c>
      <c r="X564" s="1">
        <f>+'Volcano Summary'!E$12*10^9/Q564/3600/24/365</f>
        <v>0</v>
      </c>
      <c r="Y564" s="3">
        <f t="shared" si="361"/>
        <v>2000</v>
      </c>
      <c r="Z564" s="1">
        <f>+Y564*'Volcano Summary'!B$19*'Volcano Summary'!B$20/1000</f>
        <v>81000000</v>
      </c>
      <c r="AA564" s="1">
        <f t="shared" si="345"/>
        <v>543801.5950213363</v>
      </c>
      <c r="AB564" s="3">
        <f t="shared" si="372"/>
        <v>151.05599861703786</v>
      </c>
      <c r="AC564" s="1">
        <f t="shared" si="362"/>
        <v>129774526.08191736</v>
      </c>
      <c r="AD564" s="36">
        <f t="shared" si="363"/>
        <v>36048.479467199264</v>
      </c>
      <c r="AE564" s="36">
        <f t="shared" si="370"/>
        <v>1502.0199777999694</v>
      </c>
      <c r="AG564" s="1">
        <f t="shared" si="346"/>
        <v>80999999999.99998</v>
      </c>
      <c r="AH564" s="1">
        <f t="shared" si="364"/>
        <v>81000000</v>
      </c>
      <c r="AI564" s="1">
        <f t="shared" si="365"/>
        <v>81080999999.99998</v>
      </c>
      <c r="AJ564" s="1">
        <f t="shared" si="366"/>
        <v>5848200000000</v>
      </c>
      <c r="AK564" s="1">
        <f t="shared" si="367"/>
        <v>5854048200000</v>
      </c>
      <c r="AL564" s="39">
        <f>+AJ564/('Volcano Summary'!C$8)*10^6</f>
        <v>405998.8752681211</v>
      </c>
      <c r="AM564" s="1">
        <f t="shared" si="347"/>
        <v>1502.0199777999694</v>
      </c>
    </row>
    <row r="565" spans="1:39" ht="12.75">
      <c r="A565" s="1">
        <f t="shared" si="358"/>
        <v>543801.5950213363</v>
      </c>
      <c r="B565" s="1">
        <f t="shared" si="359"/>
        <v>1508.2242765967392</v>
      </c>
      <c r="C565" s="1">
        <f t="shared" si="371"/>
        <v>158000</v>
      </c>
      <c r="D565" s="1">
        <f t="shared" si="348"/>
        <v>448.5218479273398</v>
      </c>
      <c r="E565" s="38">
        <f t="shared" si="340"/>
        <v>4735393681.578679</v>
      </c>
      <c r="F565" s="38">
        <f t="shared" si="341"/>
        <v>3044612054.867941</v>
      </c>
      <c r="G565" s="38">
        <f t="shared" si="342"/>
        <v>1353830428.1572022</v>
      </c>
      <c r="H565" s="18">
        <f t="shared" si="349"/>
        <v>0.0011147728974865894</v>
      </c>
      <c r="I565" s="50">
        <f t="shared" si="357"/>
        <v>0.021046438902610903</v>
      </c>
      <c r="J565" s="3">
        <f t="shared" si="350"/>
        <v>3.846199967723803</v>
      </c>
      <c r="K565" s="12">
        <f t="shared" si="368"/>
        <v>0.6834637984184664</v>
      </c>
      <c r="L565" s="3">
        <f t="shared" si="351"/>
        <v>1079.9270295734661</v>
      </c>
      <c r="M565" s="12">
        <f t="shared" si="369"/>
        <v>0.6774625992576475</v>
      </c>
      <c r="N565" s="37">
        <f t="shared" si="352"/>
        <v>223501.92320372106</v>
      </c>
      <c r="O565" s="1">
        <f t="shared" si="343"/>
        <v>457082.52046647377</v>
      </c>
      <c r="P565">
        <f t="shared" si="353"/>
        <v>676.0787827365045</v>
      </c>
      <c r="Q565" s="1">
        <f t="shared" si="354"/>
        <v>151104.90817883945</v>
      </c>
      <c r="R565" s="1">
        <f>+Q565*1000/'Material Properties'!AE$35</f>
        <v>129585516.1440295</v>
      </c>
      <c r="S565" s="1">
        <f t="shared" si="355"/>
        <v>820.1614945824651</v>
      </c>
      <c r="T565" s="1">
        <f t="shared" si="356"/>
        <v>341.8359999264135</v>
      </c>
      <c r="U565">
        <f t="shared" si="344"/>
        <v>2.5027718132445097E-05</v>
      </c>
      <c r="V565">
        <f>+'Material Properties'!AE$31+'Material Properties'!AE$33</f>
        <v>0.00029034311030761144</v>
      </c>
      <c r="W565">
        <f t="shared" si="360"/>
        <v>0.00031537082844005656</v>
      </c>
      <c r="X565" s="1">
        <f>+'Volcano Summary'!E$12*10^9/Q565/3600/24/365</f>
        <v>0</v>
      </c>
      <c r="Y565" s="3">
        <f t="shared" si="361"/>
        <v>2000</v>
      </c>
      <c r="Z565" s="1">
        <f>+Y565*'Volcano Summary'!B$19*'Volcano Summary'!B$20/1000</f>
        <v>81000000</v>
      </c>
      <c r="AA565" s="1">
        <f t="shared" si="345"/>
        <v>536051.4160409195</v>
      </c>
      <c r="AB565" s="3">
        <f t="shared" si="372"/>
        <v>148.90317112247763</v>
      </c>
      <c r="AC565" s="1">
        <f t="shared" si="362"/>
        <v>130310577.49795827</v>
      </c>
      <c r="AD565" s="36">
        <f t="shared" si="363"/>
        <v>36197.38263832174</v>
      </c>
      <c r="AE565" s="36">
        <f t="shared" si="370"/>
        <v>1508.2242765967392</v>
      </c>
      <c r="AG565" s="1">
        <f t="shared" si="346"/>
        <v>81000000000</v>
      </c>
      <c r="AH565" s="1">
        <f t="shared" si="364"/>
        <v>81000000</v>
      </c>
      <c r="AI565" s="1">
        <f t="shared" si="365"/>
        <v>81081000000</v>
      </c>
      <c r="AJ565" s="1">
        <f t="shared" si="366"/>
        <v>5929200000000</v>
      </c>
      <c r="AK565" s="1">
        <f t="shared" si="367"/>
        <v>5935129200000</v>
      </c>
      <c r="AL565" s="39">
        <f>+AJ565/('Volcano Summary'!C$8)*10^6</f>
        <v>411622.1283881781</v>
      </c>
      <c r="AM565" s="1">
        <f t="shared" si="347"/>
        <v>1508.2242765967392</v>
      </c>
    </row>
    <row r="566" spans="1:39" ht="12.75">
      <c r="A566" s="1">
        <f t="shared" si="358"/>
        <v>536051.4160409195</v>
      </c>
      <c r="B566" s="1">
        <f t="shared" si="359"/>
        <v>1514.3412739165508</v>
      </c>
      <c r="C566" s="1">
        <f t="shared" si="371"/>
        <v>160000</v>
      </c>
      <c r="D566" s="1">
        <f t="shared" si="348"/>
        <v>451.35166683820506</v>
      </c>
      <c r="E566" s="38">
        <f t="shared" si="340"/>
        <v>4765270278.788931</v>
      </c>
      <c r="F566" s="38">
        <f t="shared" si="341"/>
        <v>3063821154.288465</v>
      </c>
      <c r="G566" s="38">
        <f t="shared" si="342"/>
        <v>1362372029.7879987</v>
      </c>
      <c r="H566" s="18">
        <f t="shared" si="349"/>
        <v>0.0011077836568159475</v>
      </c>
      <c r="I566" s="50">
        <f t="shared" si="357"/>
        <v>0.021026988260037113</v>
      </c>
      <c r="J566" s="3">
        <f t="shared" si="350"/>
        <v>3.829335394652991</v>
      </c>
      <c r="K566" s="12">
        <f t="shared" si="368"/>
        <v>0.6826374343379966</v>
      </c>
      <c r="L566" s="3">
        <f t="shared" si="351"/>
        <v>1078.6213087601138</v>
      </c>
      <c r="M566" s="12">
        <f t="shared" si="369"/>
        <v>0.6770747140770188</v>
      </c>
      <c r="N566" s="37">
        <f t="shared" si="352"/>
        <v>226331.06147212256</v>
      </c>
      <c r="O566" s="1">
        <f t="shared" si="343"/>
        <v>458540.4490211742</v>
      </c>
      <c r="P566">
        <f t="shared" si="353"/>
        <v>677.1561481823629</v>
      </c>
      <c r="Q566" s="1">
        <f t="shared" si="354"/>
        <v>153261.46980048812</v>
      </c>
      <c r="R566" s="1">
        <f>+Q566*1000/'Material Properties'!AE$35</f>
        <v>131434954.08887108</v>
      </c>
      <c r="S566" s="1">
        <f t="shared" si="355"/>
        <v>821.4684630554442</v>
      </c>
      <c r="T566" s="1">
        <f t="shared" si="356"/>
        <v>342.31402592581765</v>
      </c>
      <c r="U566">
        <f t="shared" si="344"/>
        <v>2.499285970863565E-05</v>
      </c>
      <c r="V566">
        <f>+'Material Properties'!AE$31+'Material Properties'!AE$33</f>
        <v>0.00029034311030761144</v>
      </c>
      <c r="W566">
        <f t="shared" si="360"/>
        <v>0.0003153359700162471</v>
      </c>
      <c r="X566" s="1">
        <f>+'Volcano Summary'!E$12*10^9/Q566/3600/24/365</f>
        <v>0</v>
      </c>
      <c r="Y566" s="3">
        <f t="shared" si="361"/>
        <v>2000</v>
      </c>
      <c r="Z566" s="1">
        <f>+Y566*'Volcano Summary'!B$19*'Volcano Summary'!B$20/1000</f>
        <v>81000000</v>
      </c>
      <c r="AA566" s="1">
        <f t="shared" si="345"/>
        <v>528508.5684317378</v>
      </c>
      <c r="AB566" s="3">
        <f t="shared" si="372"/>
        <v>146.80793567548272</v>
      </c>
      <c r="AC566" s="1">
        <f t="shared" si="362"/>
        <v>130839086.06639001</v>
      </c>
      <c r="AD566" s="36">
        <f t="shared" si="363"/>
        <v>36344.19057399722</v>
      </c>
      <c r="AE566" s="36">
        <f t="shared" si="370"/>
        <v>1514.3412739165508</v>
      </c>
      <c r="AG566" s="1">
        <f t="shared" si="346"/>
        <v>81000000000</v>
      </c>
      <c r="AH566" s="1">
        <f t="shared" si="364"/>
        <v>81000000</v>
      </c>
      <c r="AI566" s="1">
        <f t="shared" si="365"/>
        <v>81081000000</v>
      </c>
      <c r="AJ566" s="1">
        <f t="shared" si="366"/>
        <v>6010200000000</v>
      </c>
      <c r="AK566" s="1">
        <f t="shared" si="367"/>
        <v>6016210200000</v>
      </c>
      <c r="AL566" s="39">
        <f>+AJ566/('Volcano Summary'!C$8)*10^6</f>
        <v>417245.38150823524</v>
      </c>
      <c r="AM566" s="1">
        <f t="shared" si="347"/>
        <v>1514.3412739165508</v>
      </c>
    </row>
    <row r="567" spans="1:39" ht="12.75">
      <c r="A567" s="1">
        <f t="shared" si="358"/>
        <v>528508.5684317378</v>
      </c>
      <c r="B567" s="1">
        <f t="shared" si="359"/>
        <v>1520.3732763503292</v>
      </c>
      <c r="C567" s="1">
        <f t="shared" si="371"/>
        <v>162000</v>
      </c>
      <c r="D567" s="1">
        <f t="shared" si="348"/>
        <v>454.1638539636288</v>
      </c>
      <c r="E567" s="38">
        <f t="shared" si="340"/>
        <v>4794960723.539141</v>
      </c>
      <c r="F567" s="38">
        <f t="shared" si="341"/>
        <v>3082910567.3508954</v>
      </c>
      <c r="G567" s="38">
        <f t="shared" si="342"/>
        <v>1370860411.16265</v>
      </c>
      <c r="H567" s="18">
        <f t="shared" si="349"/>
        <v>0.001100924249335003</v>
      </c>
      <c r="I567" s="50">
        <f t="shared" si="357"/>
        <v>0.02100781449896832</v>
      </c>
      <c r="J567" s="3">
        <f t="shared" si="350"/>
        <v>3.8128012407445695</v>
      </c>
      <c r="K567" s="12">
        <f t="shared" si="368"/>
        <v>0.6818272607964839</v>
      </c>
      <c r="L567" s="3">
        <f t="shared" si="351"/>
        <v>1077.3411702829196</v>
      </c>
      <c r="M567" s="12">
        <f t="shared" si="369"/>
        <v>0.6766944285371251</v>
      </c>
      <c r="N567" s="37">
        <f t="shared" si="352"/>
        <v>229160.19974052408</v>
      </c>
      <c r="O567" s="1">
        <f t="shared" si="343"/>
        <v>459982.33380952914</v>
      </c>
      <c r="P567">
        <f t="shared" si="353"/>
        <v>678.2199744990774</v>
      </c>
      <c r="Q567" s="1">
        <f t="shared" si="354"/>
        <v>155421.02482422173</v>
      </c>
      <c r="R567" s="1">
        <f>+Q567*1000/'Material Properties'!AE$35</f>
        <v>133286959.1346684</v>
      </c>
      <c r="S567" s="1">
        <f t="shared" si="355"/>
        <v>822.7590070041259</v>
      </c>
      <c r="T567" s="1">
        <f t="shared" si="356"/>
        <v>342.7805912056382</v>
      </c>
      <c r="U567">
        <f t="shared" si="344"/>
        <v>2.495893052880455E-05</v>
      </c>
      <c r="V567">
        <f>+'Material Properties'!AE$31+'Material Properties'!AE$33</f>
        <v>0.00029034311030761144</v>
      </c>
      <c r="W567">
        <f t="shared" si="360"/>
        <v>0.000315302040836416</v>
      </c>
      <c r="X567" s="1">
        <f>+'Volcano Summary'!E$12*10^9/Q567/3600/24/365</f>
        <v>0</v>
      </c>
      <c r="Y567" s="3">
        <f t="shared" si="361"/>
        <v>2000</v>
      </c>
      <c r="Z567" s="1">
        <f>+Y567*'Volcano Summary'!B$19*'Volcano Summary'!B$20/1000</f>
        <v>81000000</v>
      </c>
      <c r="AA567" s="1">
        <f t="shared" si="345"/>
        <v>521165.0102784322</v>
      </c>
      <c r="AB567" s="3">
        <f t="shared" si="372"/>
        <v>144.76805841067562</v>
      </c>
      <c r="AC567" s="1">
        <f t="shared" si="362"/>
        <v>131360251.07666844</v>
      </c>
      <c r="AD567" s="36">
        <f t="shared" si="363"/>
        <v>36488.9586324079</v>
      </c>
      <c r="AE567" s="36">
        <f t="shared" si="370"/>
        <v>1520.3732763503292</v>
      </c>
      <c r="AG567" s="1">
        <f t="shared" si="346"/>
        <v>80999999999.99998</v>
      </c>
      <c r="AH567" s="1">
        <f t="shared" si="364"/>
        <v>81000000</v>
      </c>
      <c r="AI567" s="1">
        <f t="shared" si="365"/>
        <v>81080999999.99998</v>
      </c>
      <c r="AJ567" s="1">
        <f t="shared" si="366"/>
        <v>6091200000000</v>
      </c>
      <c r="AK567" s="1">
        <f t="shared" si="367"/>
        <v>6097291200000</v>
      </c>
      <c r="AL567" s="39">
        <f>+AJ567/('Volcano Summary'!C$8)*10^6</f>
        <v>422868.63462829235</v>
      </c>
      <c r="AM567" s="1">
        <f t="shared" si="347"/>
        <v>1520.3732763503292</v>
      </c>
    </row>
    <row r="568" spans="1:39" ht="12.75">
      <c r="A568" s="1">
        <f t="shared" si="358"/>
        <v>521165.0102784322</v>
      </c>
      <c r="B568" s="1">
        <f t="shared" si="359"/>
        <v>1526.322502110546</v>
      </c>
      <c r="C568" s="1">
        <f t="shared" si="371"/>
        <v>164000</v>
      </c>
      <c r="D568" s="1">
        <f t="shared" si="348"/>
        <v>456.9587348290507</v>
      </c>
      <c r="E568" s="38">
        <f t="shared" si="340"/>
        <v>4824468452.654329</v>
      </c>
      <c r="F568" s="38">
        <f t="shared" si="341"/>
        <v>3101882503.7551208</v>
      </c>
      <c r="G568" s="38">
        <f t="shared" si="342"/>
        <v>1379296554.855912</v>
      </c>
      <c r="H568" s="18">
        <f t="shared" si="349"/>
        <v>0.0010941907045218234</v>
      </c>
      <c r="I568" s="50">
        <f t="shared" si="357"/>
        <v>0.020988910300598677</v>
      </c>
      <c r="J568" s="3">
        <f t="shared" si="350"/>
        <v>3.796587054895742</v>
      </c>
      <c r="K568" s="12">
        <f t="shared" si="368"/>
        <v>0.6810327656898914</v>
      </c>
      <c r="L568" s="3">
        <f t="shared" si="351"/>
        <v>1076.0858049768733</v>
      </c>
      <c r="M568" s="12">
        <f t="shared" si="369"/>
        <v>0.6763215022626021</v>
      </c>
      <c r="N568" s="37">
        <f t="shared" si="352"/>
        <v>231989.33800892555</v>
      </c>
      <c r="O568" s="1">
        <f t="shared" si="343"/>
        <v>461408.5119453643</v>
      </c>
      <c r="P568">
        <f t="shared" si="353"/>
        <v>679.2705734428397</v>
      </c>
      <c r="Q568" s="1">
        <f t="shared" si="354"/>
        <v>157583.53066194765</v>
      </c>
      <c r="R568" s="1">
        <f>+Q568*1000/'Material Properties'!AE$35</f>
        <v>135141494.75845188</v>
      </c>
      <c r="S568" s="1">
        <f t="shared" si="355"/>
        <v>824.0335046247066</v>
      </c>
      <c r="T568" s="1">
        <f t="shared" si="356"/>
        <v>343.23611309384023</v>
      </c>
      <c r="U568">
        <f t="shared" si="344"/>
        <v>2.4925893196396243E-05</v>
      </c>
      <c r="V568">
        <f>+'Material Properties'!AE$31+'Material Properties'!AE$33</f>
        <v>0.00029034311030761144</v>
      </c>
      <c r="W568">
        <f t="shared" si="360"/>
        <v>0.0003152690035040077</v>
      </c>
      <c r="X568" s="1">
        <f>+'Volcano Summary'!E$12*10^9/Q568/3600/24/365</f>
        <v>0</v>
      </c>
      <c r="Y568" s="3">
        <f t="shared" si="361"/>
        <v>2000</v>
      </c>
      <c r="Z568" s="1">
        <f>+Y568*'Volcano Summary'!B$19*'Volcano Summary'!B$20/1000</f>
        <v>81000000</v>
      </c>
      <c r="AA568" s="1">
        <f t="shared" si="345"/>
        <v>514013.10568274633</v>
      </c>
      <c r="AB568" s="3">
        <f t="shared" si="372"/>
        <v>142.7814182452073</v>
      </c>
      <c r="AC568" s="1">
        <f t="shared" si="362"/>
        <v>131874264.18235119</v>
      </c>
      <c r="AD568" s="36">
        <f t="shared" si="363"/>
        <v>36631.740050653105</v>
      </c>
      <c r="AE568" s="36">
        <f t="shared" si="370"/>
        <v>1526.322502110546</v>
      </c>
      <c r="AG568" s="1">
        <f t="shared" si="346"/>
        <v>81000000000</v>
      </c>
      <c r="AH568" s="1">
        <f t="shared" si="364"/>
        <v>81000000</v>
      </c>
      <c r="AI568" s="1">
        <f t="shared" si="365"/>
        <v>81081000000</v>
      </c>
      <c r="AJ568" s="1">
        <f t="shared" si="366"/>
        <v>6172200000000</v>
      </c>
      <c r="AK568" s="1">
        <f t="shared" si="367"/>
        <v>6178372200000</v>
      </c>
      <c r="AL568" s="39">
        <f>+AJ568/('Volcano Summary'!C$8)*10^6</f>
        <v>428491.8877483494</v>
      </c>
      <c r="AM568" s="1">
        <f t="shared" si="347"/>
        <v>1526.322502110546</v>
      </c>
    </row>
    <row r="569" spans="1:39" ht="12.75">
      <c r="A569" s="1">
        <f t="shared" si="358"/>
        <v>514013.10568274633</v>
      </c>
      <c r="B569" s="1">
        <f t="shared" si="359"/>
        <v>1532.1910854396517</v>
      </c>
      <c r="C569" s="1">
        <f t="shared" si="371"/>
        <v>166000</v>
      </c>
      <c r="D569" s="1">
        <f t="shared" si="348"/>
        <v>459.73662506487017</v>
      </c>
      <c r="E569" s="38">
        <f t="shared" si="340"/>
        <v>4853796798.489893</v>
      </c>
      <c r="F569" s="38">
        <f t="shared" si="341"/>
        <v>3120739106.032489</v>
      </c>
      <c r="G569" s="38">
        <f t="shared" si="342"/>
        <v>1387681413.5750852</v>
      </c>
      <c r="H569" s="18">
        <f t="shared" si="349"/>
        <v>0.0010875792197966576</v>
      </c>
      <c r="I569" s="50">
        <f t="shared" si="357"/>
        <v>0.020970268626352224</v>
      </c>
      <c r="J569" s="3">
        <f t="shared" si="350"/>
        <v>3.7806828391574476</v>
      </c>
      <c r="K569" s="12">
        <f t="shared" si="368"/>
        <v>0.6802534591187149</v>
      </c>
      <c r="L569" s="3">
        <f t="shared" si="351"/>
        <v>1074.8544387618886</v>
      </c>
      <c r="M569" s="12">
        <f t="shared" si="369"/>
        <v>0.6759557053006213</v>
      </c>
      <c r="N569" s="37">
        <f t="shared" si="352"/>
        <v>234818.47627732714</v>
      </c>
      <c r="O569" s="1">
        <f t="shared" si="343"/>
        <v>462819.3098503896</v>
      </c>
      <c r="P569">
        <f t="shared" si="353"/>
        <v>680.3082462019622</v>
      </c>
      <c r="Q569" s="1">
        <f t="shared" si="354"/>
        <v>159748.9457720455</v>
      </c>
      <c r="R569" s="1">
        <f>+Q569*1000/'Material Properties'!AE$35</f>
        <v>136998525.33469233</v>
      </c>
      <c r="S569" s="1">
        <f t="shared" si="355"/>
        <v>825.2923212933273</v>
      </c>
      <c r="T569" s="1">
        <f t="shared" si="356"/>
        <v>343.6809887450089</v>
      </c>
      <c r="U569">
        <f t="shared" si="344"/>
        <v>2.4893712306187836E-05</v>
      </c>
      <c r="V569">
        <f>+'Material Properties'!AE$31+'Material Properties'!AE$33</f>
        <v>0.00029034311030761144</v>
      </c>
      <c r="W569">
        <f t="shared" si="360"/>
        <v>0.0003152368226137993</v>
      </c>
      <c r="X569" s="1">
        <f>+'Volcano Summary'!E$12*10^9/Q569/3600/24/365</f>
        <v>0</v>
      </c>
      <c r="Y569" s="3">
        <f t="shared" si="361"/>
        <v>2000</v>
      </c>
      <c r="Z569" s="1">
        <f>+Y569*'Volcano Summary'!B$19*'Volcano Summary'!B$20/1000</f>
        <v>81000000</v>
      </c>
      <c r="AA569" s="1">
        <f t="shared" si="345"/>
        <v>507045.5996347127</v>
      </c>
      <c r="AB569" s="3">
        <f t="shared" si="372"/>
        <v>140.8459998985313</v>
      </c>
      <c r="AC569" s="1">
        <f t="shared" si="362"/>
        <v>132381309.7819859</v>
      </c>
      <c r="AD569" s="36">
        <f t="shared" si="363"/>
        <v>36772.58605055164</v>
      </c>
      <c r="AE569" s="36">
        <f t="shared" si="370"/>
        <v>1532.1910854396517</v>
      </c>
      <c r="AG569" s="1">
        <f t="shared" si="346"/>
        <v>81000000000</v>
      </c>
      <c r="AH569" s="1">
        <f t="shared" si="364"/>
        <v>81000000</v>
      </c>
      <c r="AI569" s="1">
        <f t="shared" si="365"/>
        <v>81081000000</v>
      </c>
      <c r="AJ569" s="1">
        <f t="shared" si="366"/>
        <v>6253200000000</v>
      </c>
      <c r="AK569" s="1">
        <f t="shared" si="367"/>
        <v>6259453200000</v>
      </c>
      <c r="AL569" s="39">
        <f>+AJ569/('Volcano Summary'!C$8)*10^6</f>
        <v>434115.14086840645</v>
      </c>
      <c r="AM569" s="1">
        <f t="shared" si="347"/>
        <v>1532.1910854396517</v>
      </c>
    </row>
    <row r="570" spans="1:39" ht="12.75">
      <c r="A570" s="1">
        <f t="shared" si="358"/>
        <v>507045.5996347127</v>
      </c>
      <c r="B570" s="1">
        <f t="shared" si="359"/>
        <v>1537.9810807488957</v>
      </c>
      <c r="C570" s="1">
        <f t="shared" si="371"/>
        <v>168000</v>
      </c>
      <c r="D570" s="1">
        <f t="shared" si="348"/>
        <v>462.49783082248865</v>
      </c>
      <c r="E570" s="38">
        <f t="shared" si="340"/>
        <v>4882948993.324075</v>
      </c>
      <c r="F570" s="38">
        <f t="shared" si="341"/>
        <v>3139482452.3699403</v>
      </c>
      <c r="G570" s="38">
        <f t="shared" si="342"/>
        <v>1396015911.4158065</v>
      </c>
      <c r="H570" s="18">
        <f t="shared" si="349"/>
        <v>0.001081086151497876</v>
      </c>
      <c r="I570" s="50">
        <f t="shared" si="357"/>
        <v>0.02095188270391541</v>
      </c>
      <c r="J570" s="3">
        <f t="shared" si="350"/>
        <v>3.7650790239010825</v>
      </c>
      <c r="K570" s="12">
        <f t="shared" si="368"/>
        <v>0.6794888721711531</v>
      </c>
      <c r="L570" s="3">
        <f t="shared" si="351"/>
        <v>1073.6463307201138</v>
      </c>
      <c r="M570" s="12">
        <f t="shared" si="369"/>
        <v>0.6755968175497249</v>
      </c>
      <c r="N570" s="37">
        <f t="shared" si="352"/>
        <v>237647.61454572863</v>
      </c>
      <c r="O570" s="1">
        <f t="shared" si="343"/>
        <v>464215.0437100643</v>
      </c>
      <c r="P570">
        <f t="shared" si="353"/>
        <v>681.3332838707238</v>
      </c>
      <c r="Q570" s="1">
        <f t="shared" si="354"/>
        <v>161917.2296224853</v>
      </c>
      <c r="R570" s="1">
        <f>+Q570*1000/'Material Properties'!AE$35</f>
        <v>138858016.10367155</v>
      </c>
      <c r="S570" s="1">
        <f t="shared" si="355"/>
        <v>826.5358101409021</v>
      </c>
      <c r="T570" s="1">
        <f t="shared" si="356"/>
        <v>344.11559634840694</v>
      </c>
      <c r="U570">
        <f t="shared" si="344"/>
        <v>2.4862354313217143E-05</v>
      </c>
      <c r="V570">
        <f>+'Material Properties'!AE$31+'Material Properties'!AE$33</f>
        <v>0.00029034311030761144</v>
      </c>
      <c r="W570">
        <f t="shared" si="360"/>
        <v>0.00031520546462082856</v>
      </c>
      <c r="X570" s="1">
        <f>+'Volcano Summary'!E$12*10^9/Q570/3600/24/365</f>
        <v>0</v>
      </c>
      <c r="Y570" s="3">
        <f t="shared" si="361"/>
        <v>2000</v>
      </c>
      <c r="Z570" s="1">
        <f>+Y570*'Volcano Summary'!B$19*'Volcano Summary'!B$20/1000</f>
        <v>81000000</v>
      </c>
      <c r="AA570" s="1">
        <f t="shared" si="345"/>
        <v>500255.5947186958</v>
      </c>
      <c r="AB570" s="3">
        <f t="shared" si="372"/>
        <v>138.95988742185995</v>
      </c>
      <c r="AC570" s="1">
        <f t="shared" si="362"/>
        <v>132881565.37670459</v>
      </c>
      <c r="AD570" s="36">
        <f t="shared" si="363"/>
        <v>36911.5459379735</v>
      </c>
      <c r="AE570" s="36">
        <f t="shared" si="370"/>
        <v>1537.9810807488957</v>
      </c>
      <c r="AG570" s="1">
        <f t="shared" si="346"/>
        <v>81000000000</v>
      </c>
      <c r="AH570" s="1">
        <f t="shared" si="364"/>
        <v>81000000</v>
      </c>
      <c r="AI570" s="1">
        <f t="shared" si="365"/>
        <v>81081000000</v>
      </c>
      <c r="AJ570" s="1">
        <f t="shared" si="366"/>
        <v>6334200000000</v>
      </c>
      <c r="AK570" s="1">
        <f t="shared" si="367"/>
        <v>6340534200000</v>
      </c>
      <c r="AL570" s="39">
        <f>+AJ570/('Volcano Summary'!C$8)*10^6</f>
        <v>439738.39398846356</v>
      </c>
      <c r="AM570" s="1">
        <f t="shared" si="347"/>
        <v>1537.9810807488957</v>
      </c>
    </row>
    <row r="571" spans="1:39" ht="12.75">
      <c r="A571" s="1">
        <f t="shared" si="358"/>
        <v>500255.5947186958</v>
      </c>
      <c r="B571" s="1">
        <f t="shared" si="359"/>
        <v>1543.694466507002</v>
      </c>
      <c r="C571" s="1">
        <f t="shared" si="371"/>
        <v>170000</v>
      </c>
      <c r="D571" s="1">
        <f t="shared" si="348"/>
        <v>465.2426491681278</v>
      </c>
      <c r="E571" s="38">
        <f t="shared" si="340"/>
        <v>4911928173.51582</v>
      </c>
      <c r="F571" s="38">
        <f t="shared" si="341"/>
        <v>3158114559.2832904</v>
      </c>
      <c r="G571" s="38">
        <f t="shared" si="342"/>
        <v>1404300945.050762</v>
      </c>
      <c r="H571" s="18">
        <f t="shared" si="349"/>
        <v>0.0010747080064435618</v>
      </c>
      <c r="I571" s="50">
        <f t="shared" si="357"/>
        <v>0.020933746014123213</v>
      </c>
      <c r="J571" s="3">
        <f t="shared" si="350"/>
        <v>3.7497664446234213</v>
      </c>
      <c r="K571" s="12">
        <f t="shared" si="368"/>
        <v>0.6787385557865477</v>
      </c>
      <c r="L571" s="3">
        <f t="shared" si="351"/>
        <v>1072.46077130008</v>
      </c>
      <c r="M571" s="12">
        <f t="shared" si="369"/>
        <v>0.6752446282263387</v>
      </c>
      <c r="N571" s="37">
        <f t="shared" si="352"/>
        <v>240476.75281413016</v>
      </c>
      <c r="O571" s="1">
        <f t="shared" si="343"/>
        <v>465596.0199050507</v>
      </c>
      <c r="P571">
        <f t="shared" si="353"/>
        <v>682.3459678968219</v>
      </c>
      <c r="Q571" s="1">
        <f t="shared" si="354"/>
        <v>164088.34265564242</v>
      </c>
      <c r="R571" s="1">
        <f>+Q571*1000/'Material Properties'!AE$35</f>
        <v>140719933.14130816</v>
      </c>
      <c r="S571" s="1">
        <f t="shared" si="355"/>
        <v>827.7643125959304</v>
      </c>
      <c r="T571" s="1">
        <f t="shared" si="356"/>
        <v>344.54029625013663</v>
      </c>
      <c r="U571">
        <f t="shared" si="344"/>
        <v>2.48317874119372E-05</v>
      </c>
      <c r="V571">
        <f>+'Material Properties'!AE$31+'Material Properties'!AE$33</f>
        <v>0.00029034311030761144</v>
      </c>
      <c r="W571">
        <f t="shared" si="360"/>
        <v>0.00031517489771954864</v>
      </c>
      <c r="X571" s="1">
        <f>+'Volcano Summary'!E$12*10^9/Q571/3600/24/365</f>
        <v>0</v>
      </c>
      <c r="Y571" s="3">
        <f t="shared" si="361"/>
        <v>2000</v>
      </c>
      <c r="Z571" s="1">
        <f>+Y571*'Volcano Summary'!B$19*'Volcano Summary'!B$20/1000</f>
        <v>81000000</v>
      </c>
      <c r="AA571" s="1">
        <f t="shared" si="345"/>
        <v>493636.52950037696</v>
      </c>
      <c r="AB571" s="3">
        <f t="shared" si="372"/>
        <v>137.12125819454914</v>
      </c>
      <c r="AC571" s="1">
        <f t="shared" si="362"/>
        <v>133375201.90620497</v>
      </c>
      <c r="AD571" s="36">
        <f t="shared" si="363"/>
        <v>37048.66719616805</v>
      </c>
      <c r="AE571" s="36">
        <f t="shared" si="370"/>
        <v>1543.694466507002</v>
      </c>
      <c r="AG571" s="1">
        <f t="shared" si="346"/>
        <v>81000000000</v>
      </c>
      <c r="AH571" s="1">
        <f t="shared" si="364"/>
        <v>81000000</v>
      </c>
      <c r="AI571" s="1">
        <f t="shared" si="365"/>
        <v>81081000000</v>
      </c>
      <c r="AJ571" s="1">
        <f t="shared" si="366"/>
        <v>6415200000000</v>
      </c>
      <c r="AK571" s="1">
        <f t="shared" si="367"/>
        <v>6421615200000</v>
      </c>
      <c r="AL571" s="39">
        <f>+AJ571/('Volcano Summary'!C$8)*10^6</f>
        <v>445361.6471085206</v>
      </c>
      <c r="AM571" s="1">
        <f t="shared" si="347"/>
        <v>1543.694466507002</v>
      </c>
    </row>
    <row r="572" spans="1:39" ht="12.75">
      <c r="A572" s="1">
        <f t="shared" si="358"/>
        <v>493636.52950037696</v>
      </c>
      <c r="B572" s="1">
        <f t="shared" si="359"/>
        <v>1549.3331488965312</v>
      </c>
      <c r="C572" s="1">
        <f t="shared" si="371"/>
        <v>172000</v>
      </c>
      <c r="D572" s="1">
        <f t="shared" si="348"/>
        <v>467.97136845585754</v>
      </c>
      <c r="E572" s="38">
        <f t="shared" si="340"/>
        <v>4940737383.443115</v>
      </c>
      <c r="F572" s="38">
        <f t="shared" si="341"/>
        <v>3176637384.1493797</v>
      </c>
      <c r="G572" s="38">
        <f t="shared" si="342"/>
        <v>1412537384.8556442</v>
      </c>
      <c r="H572" s="18">
        <f t="shared" si="349"/>
        <v>0.0010684414340343636</v>
      </c>
      <c r="I572" s="50">
        <f t="shared" si="357"/>
        <v>0.020915852278637292</v>
      </c>
      <c r="J572" s="3">
        <f t="shared" si="350"/>
        <v>3.7347363202638144</v>
      </c>
      <c r="K572" s="12">
        <f t="shared" si="368"/>
        <v>0.6780020796929269</v>
      </c>
      <c r="L572" s="3">
        <f t="shared" si="351"/>
        <v>1071.297080637932</v>
      </c>
      <c r="M572" s="12">
        <f t="shared" si="369"/>
        <v>0.6748989353660678</v>
      </c>
      <c r="N572" s="37">
        <f t="shared" si="352"/>
        <v>243305.89108253174</v>
      </c>
      <c r="O572" s="1">
        <f t="shared" si="343"/>
        <v>466962.535419827</v>
      </c>
      <c r="P572">
        <f t="shared" si="353"/>
        <v>683.346570504182</v>
      </c>
      <c r="Q572" s="1">
        <f t="shared" si="354"/>
        <v>166262.2462547121</v>
      </c>
      <c r="R572" s="1">
        <f>+Q572*1000/'Material Properties'!AE$35</f>
        <v>142584243.33035508</v>
      </c>
      <c r="S572" s="1">
        <f t="shared" si="355"/>
        <v>828.9781588974132</v>
      </c>
      <c r="T572" s="1">
        <f t="shared" si="356"/>
        <v>344.95543199645283</v>
      </c>
      <c r="U572">
        <f t="shared" si="344"/>
        <v>2.4801981424677975E-05</v>
      </c>
      <c r="V572">
        <f>+'Material Properties'!AE$31+'Material Properties'!AE$33</f>
        <v>0.00029034311030761144</v>
      </c>
      <c r="W572">
        <f t="shared" si="360"/>
        <v>0.0003151450917322894</v>
      </c>
      <c r="X572" s="1">
        <f>+'Volcano Summary'!E$12*10^9/Q572/3600/24/365</f>
        <v>0</v>
      </c>
      <c r="Y572" s="3">
        <f t="shared" si="361"/>
        <v>2000</v>
      </c>
      <c r="Z572" s="1">
        <f>+Y572*'Volcano Summary'!B$19*'Volcano Summary'!B$20/1000</f>
        <v>81000000</v>
      </c>
      <c r="AA572" s="1">
        <f t="shared" si="345"/>
        <v>487182.1584553164</v>
      </c>
      <c r="AB572" s="3">
        <f t="shared" si="372"/>
        <v>135.328377348699</v>
      </c>
      <c r="AC572" s="1">
        <f t="shared" si="362"/>
        <v>133862384.06466028</v>
      </c>
      <c r="AD572" s="36">
        <f t="shared" si="363"/>
        <v>37183.995573516746</v>
      </c>
      <c r="AE572" s="36">
        <f t="shared" si="370"/>
        <v>1549.3331488965312</v>
      </c>
      <c r="AG572" s="1">
        <f t="shared" si="346"/>
        <v>80999999999.99998</v>
      </c>
      <c r="AH572" s="1">
        <f t="shared" si="364"/>
        <v>81000000</v>
      </c>
      <c r="AI572" s="1">
        <f t="shared" si="365"/>
        <v>81080999999.99998</v>
      </c>
      <c r="AJ572" s="1">
        <f t="shared" si="366"/>
        <v>6496200000000</v>
      </c>
      <c r="AK572" s="1">
        <f t="shared" si="367"/>
        <v>6502696200000</v>
      </c>
      <c r="AL572" s="39">
        <f>+AJ572/('Volcano Summary'!C$8)*10^6</f>
        <v>450984.9002285777</v>
      </c>
      <c r="AM572" s="1">
        <f t="shared" si="347"/>
        <v>1549.3331488965312</v>
      </c>
    </row>
    <row r="573" spans="1:39" ht="12.75">
      <c r="A573" s="1">
        <f t="shared" si="358"/>
        <v>487182.1584553164</v>
      </c>
      <c r="B573" s="1">
        <f t="shared" si="359"/>
        <v>1554.8989652543175</v>
      </c>
      <c r="C573" s="1">
        <f t="shared" si="371"/>
        <v>174000</v>
      </c>
      <c r="D573" s="1">
        <f t="shared" si="348"/>
        <v>470.6842686811599</v>
      </c>
      <c r="E573" s="38">
        <f t="shared" si="340"/>
        <v>4969379579.235841</v>
      </c>
      <c r="F573" s="38">
        <f t="shared" si="341"/>
        <v>3195052827.6060996</v>
      </c>
      <c r="G573" s="38">
        <f t="shared" si="342"/>
        <v>1420726075.976358</v>
      </c>
      <c r="H573" s="18">
        <f t="shared" si="349"/>
        <v>0.0010622832188570519</v>
      </c>
      <c r="I573" s="50">
        <f t="shared" si="357"/>
        <v>0.020898195448359743</v>
      </c>
      <c r="J573" s="3">
        <f t="shared" si="350"/>
        <v>3.7199802329187377</v>
      </c>
      <c r="K573" s="12">
        <f t="shared" si="368"/>
        <v>0.6772790314130182</v>
      </c>
      <c r="L573" s="3">
        <f t="shared" si="351"/>
        <v>1070.154606986852</v>
      </c>
      <c r="M573" s="12">
        <f t="shared" si="369"/>
        <v>0.674559545357131</v>
      </c>
      <c r="N573" s="37">
        <f t="shared" si="352"/>
        <v>246135.02935093324</v>
      </c>
      <c r="O573" s="1">
        <f t="shared" si="343"/>
        <v>468314.87822991423</v>
      </c>
      <c r="P573">
        <f t="shared" si="353"/>
        <v>684.3353550927457</v>
      </c>
      <c r="Q573" s="1">
        <f t="shared" si="354"/>
        <v>168438.9027116343</v>
      </c>
      <c r="R573" s="1">
        <f>+Q573*1000/'Material Properties'!AE$35</f>
        <v>144450914.33289233</v>
      </c>
      <c r="S573" s="1">
        <f t="shared" si="355"/>
        <v>830.177668579841</v>
      </c>
      <c r="T573" s="1">
        <f t="shared" si="356"/>
        <v>345.3613313046178</v>
      </c>
      <c r="U573">
        <f t="shared" si="344"/>
        <v>2.4772907698589455E-05</v>
      </c>
      <c r="V573">
        <f>+'Material Properties'!AE$31+'Material Properties'!AE$33</f>
        <v>0.00029034311030761144</v>
      </c>
      <c r="W573">
        <f t="shared" si="360"/>
        <v>0.0003151160180062009</v>
      </c>
      <c r="X573" s="1">
        <f>+'Volcano Summary'!E$12*10^9/Q573/3600/24/365</f>
        <v>0</v>
      </c>
      <c r="Y573" s="3">
        <f t="shared" si="361"/>
        <v>2000</v>
      </c>
      <c r="Z573" s="1">
        <f>+Y573*'Volcano Summary'!B$19*'Volcano Summary'!B$20/1000</f>
        <v>81000000</v>
      </c>
      <c r="AA573" s="1">
        <f t="shared" si="345"/>
        <v>480886.53331274184</v>
      </c>
      <c r="AB573" s="3">
        <f t="shared" si="372"/>
        <v>133.57959258687274</v>
      </c>
      <c r="AC573" s="1">
        <f t="shared" si="362"/>
        <v>134343270.59797302</v>
      </c>
      <c r="AD573" s="36">
        <f t="shared" si="363"/>
        <v>37317.57516610362</v>
      </c>
      <c r="AE573" s="36">
        <f t="shared" si="370"/>
        <v>1554.8989652543175</v>
      </c>
      <c r="AG573" s="1">
        <f t="shared" si="346"/>
        <v>81000000000</v>
      </c>
      <c r="AH573" s="1">
        <f t="shared" si="364"/>
        <v>81000000</v>
      </c>
      <c r="AI573" s="1">
        <f t="shared" si="365"/>
        <v>81081000000</v>
      </c>
      <c r="AJ573" s="1">
        <f t="shared" si="366"/>
        <v>6577200000000</v>
      </c>
      <c r="AK573" s="1">
        <f t="shared" si="367"/>
        <v>6583777200000</v>
      </c>
      <c r="AL573" s="39">
        <f>+AJ573/('Volcano Summary'!C$8)*10^6</f>
        <v>456608.1533486348</v>
      </c>
      <c r="AM573" s="1">
        <f t="shared" si="347"/>
        <v>1554.8989652543175</v>
      </c>
    </row>
    <row r="574" spans="1:39" ht="12.75">
      <c r="A574" s="1">
        <f t="shared" si="358"/>
        <v>480886.53331274184</v>
      </c>
      <c r="B574" s="1">
        <f t="shared" si="359"/>
        <v>1560.393687311029</v>
      </c>
      <c r="C574" s="1">
        <f t="shared" si="371"/>
        <v>176000</v>
      </c>
      <c r="D574" s="1">
        <f t="shared" si="348"/>
        <v>473.3816218162558</v>
      </c>
      <c r="E574" s="38">
        <f t="shared" si="340"/>
        <v>4997857632.316075</v>
      </c>
      <c r="F574" s="38">
        <f t="shared" si="341"/>
        <v>3213362735.8286285</v>
      </c>
      <c r="G574" s="38">
        <f t="shared" si="342"/>
        <v>1428867839.3411822</v>
      </c>
      <c r="H574" s="18">
        <f t="shared" si="349"/>
        <v>0.0010562302737516839</v>
      </c>
      <c r="I574" s="50">
        <f t="shared" si="357"/>
        <v>0.020880769692530627</v>
      </c>
      <c r="J574" s="3">
        <f t="shared" si="350"/>
        <v>3.705490108848749</v>
      </c>
      <c r="K574" s="12">
        <f t="shared" si="368"/>
        <v>0.6765690153335887</v>
      </c>
      <c r="L574" s="3">
        <f t="shared" si="351"/>
        <v>1069.0327252465436</v>
      </c>
      <c r="M574" s="12">
        <f t="shared" si="369"/>
        <v>0.6742262725035213</v>
      </c>
      <c r="N574" s="37">
        <f t="shared" si="352"/>
        <v>248964.16761933477</v>
      </c>
      <c r="O574" s="1">
        <f t="shared" si="343"/>
        <v>469653.3276690597</v>
      </c>
      <c r="P574">
        <f t="shared" si="353"/>
        <v>685.3125766167287</v>
      </c>
      <c r="Q574" s="1">
        <f t="shared" si="354"/>
        <v>170618.27519644547</v>
      </c>
      <c r="R574" s="1">
        <f>+Q574*1000/'Material Properties'!AE$35</f>
        <v>146319914.56404367</v>
      </c>
      <c r="S574" s="1">
        <f t="shared" si="355"/>
        <v>831.3631509320663</v>
      </c>
      <c r="T574" s="1">
        <f t="shared" si="356"/>
        <v>345.7583069671067</v>
      </c>
      <c r="U574">
        <f t="shared" si="344"/>
        <v>2.474453901032272E-05</v>
      </c>
      <c r="V574">
        <f>+'Material Properties'!AE$31+'Material Properties'!AE$33</f>
        <v>0.00029034311030761144</v>
      </c>
      <c r="W574">
        <f t="shared" si="360"/>
        <v>0.00031508764931793414</v>
      </c>
      <c r="X574" s="1">
        <f>+'Volcano Summary'!E$12*10^9/Q574/3600/24/365</f>
        <v>0</v>
      </c>
      <c r="Y574" s="3">
        <f t="shared" si="361"/>
        <v>2000</v>
      </c>
      <c r="Z574" s="1">
        <f>+Y574*'Volcano Summary'!B$19*'Volcano Summary'!B$20/1000</f>
        <v>81000000</v>
      </c>
      <c r="AA574" s="1">
        <f t="shared" si="345"/>
        <v>474743.98569988296</v>
      </c>
      <c r="AB574" s="3">
        <f t="shared" si="372"/>
        <v>131.8733293610786</v>
      </c>
      <c r="AC574" s="1">
        <f t="shared" si="362"/>
        <v>134818014.5836729</v>
      </c>
      <c r="AD574" s="36">
        <f t="shared" si="363"/>
        <v>37449.4484954647</v>
      </c>
      <c r="AE574" s="36">
        <f t="shared" si="370"/>
        <v>1560.393687311029</v>
      </c>
      <c r="AG574" s="1">
        <f t="shared" si="346"/>
        <v>81000000000</v>
      </c>
      <c r="AH574" s="1">
        <f t="shared" si="364"/>
        <v>81000000</v>
      </c>
      <c r="AI574" s="1">
        <f t="shared" si="365"/>
        <v>81081000000</v>
      </c>
      <c r="AJ574" s="1">
        <f t="shared" si="366"/>
        <v>6658200000000</v>
      </c>
      <c r="AK574" s="1">
        <f t="shared" si="367"/>
        <v>6664858200000</v>
      </c>
      <c r="AL574" s="39">
        <f>+AJ574/('Volcano Summary'!C$8)*10^6</f>
        <v>462231.4064686919</v>
      </c>
      <c r="AM574" s="1">
        <f t="shared" si="347"/>
        <v>1560.393687311029</v>
      </c>
    </row>
    <row r="575" spans="1:39" ht="12.75">
      <c r="A575" s="1">
        <f t="shared" si="358"/>
        <v>474743.98569988296</v>
      </c>
      <c r="B575" s="1">
        <f t="shared" si="359"/>
        <v>1565.8190242436985</v>
      </c>
      <c r="C575" s="1">
        <f t="shared" si="371"/>
        <v>178000</v>
      </c>
      <c r="D575" s="1">
        <f t="shared" si="348"/>
        <v>476.0636921283317</v>
      </c>
      <c r="E575" s="38">
        <f t="shared" si="340"/>
        <v>5026174332.757859</v>
      </c>
      <c r="F575" s="38">
        <f t="shared" si="341"/>
        <v>3231568902.689585</v>
      </c>
      <c r="G575" s="38">
        <f t="shared" si="342"/>
        <v>1436963472.621311</v>
      </c>
      <c r="H575" s="18">
        <f t="shared" si="349"/>
        <v>0.0010502796333084269</v>
      </c>
      <c r="I575" s="50">
        <f t="shared" si="357"/>
        <v>0.020863569388461588</v>
      </c>
      <c r="J575" s="3">
        <f t="shared" si="350"/>
        <v>3.6912582006818355</v>
      </c>
      <c r="K575" s="12">
        <f t="shared" si="368"/>
        <v>0.67587165183341</v>
      </c>
      <c r="L575" s="3">
        <f t="shared" si="351"/>
        <v>1067.9308355853448</v>
      </c>
      <c r="M575" s="12">
        <f t="shared" si="369"/>
        <v>0.6738989386156823</v>
      </c>
      <c r="N575" s="37">
        <f t="shared" si="352"/>
        <v>251793.30588773632</v>
      </c>
      <c r="O575" s="1">
        <f t="shared" si="343"/>
        <v>470978.154777626</v>
      </c>
      <c r="P575">
        <f t="shared" si="353"/>
        <v>686.2784819427359</v>
      </c>
      <c r="Q575" s="1">
        <f t="shared" si="354"/>
        <v>172800.3277279786</v>
      </c>
      <c r="R575" s="1">
        <f>+Q575*1000/'Material Properties'!AE$35</f>
        <v>148191213.16684914</v>
      </c>
      <c r="S575" s="1">
        <f t="shared" si="355"/>
        <v>832.5349054317368</v>
      </c>
      <c r="T575" s="1">
        <f t="shared" si="356"/>
        <v>346.146657694444</v>
      </c>
      <c r="U575">
        <f t="shared" si="344"/>
        <v>2.4716849477779387E-05</v>
      </c>
      <c r="V575">
        <f>+'Material Properties'!AE$31+'Material Properties'!AE$33</f>
        <v>0.00029034311030761144</v>
      </c>
      <c r="W575">
        <f t="shared" si="360"/>
        <v>0.00031505995978539083</v>
      </c>
      <c r="X575" s="1">
        <f>+'Volcano Summary'!E$12*10^9/Q575/3600/24/365</f>
        <v>0</v>
      </c>
      <c r="Y575" s="3">
        <f t="shared" si="361"/>
        <v>2000</v>
      </c>
      <c r="Z575" s="1">
        <f>+Y575*'Volcano Summary'!B$19*'Volcano Summary'!B$20/1000</f>
        <v>81000000</v>
      </c>
      <c r="AA575" s="1">
        <f t="shared" si="345"/>
        <v>468749.1109826469</v>
      </c>
      <c r="AB575" s="3">
        <f t="shared" si="372"/>
        <v>130.20808638406857</v>
      </c>
      <c r="AC575" s="1">
        <f t="shared" si="362"/>
        <v>135286763.69465557</v>
      </c>
      <c r="AD575" s="36">
        <f t="shared" si="363"/>
        <v>37579.656581848765</v>
      </c>
      <c r="AE575" s="36">
        <f t="shared" si="370"/>
        <v>1565.8190242436985</v>
      </c>
      <c r="AG575" s="1">
        <f t="shared" si="346"/>
        <v>81000000000</v>
      </c>
      <c r="AH575" s="1">
        <f t="shared" si="364"/>
        <v>81000000</v>
      </c>
      <c r="AI575" s="1">
        <f t="shared" si="365"/>
        <v>81081000000</v>
      </c>
      <c r="AJ575" s="1">
        <f t="shared" si="366"/>
        <v>6739200000000</v>
      </c>
      <c r="AK575" s="1">
        <f t="shared" si="367"/>
        <v>6745939200000</v>
      </c>
      <c r="AL575" s="39">
        <f>+AJ575/('Volcano Summary'!C$8)*10^6</f>
        <v>467854.65958874894</v>
      </c>
      <c r="AM575" s="1">
        <f t="shared" si="347"/>
        <v>1565.8190242436985</v>
      </c>
    </row>
    <row r="576" spans="1:39" ht="12.75">
      <c r="A576" s="1">
        <f t="shared" si="358"/>
        <v>468749.1109826469</v>
      </c>
      <c r="B576" s="1">
        <f t="shared" si="359"/>
        <v>1571.1766255539744</v>
      </c>
      <c r="C576" s="1">
        <f t="shared" si="371"/>
        <v>180000</v>
      </c>
      <c r="D576" s="1">
        <f t="shared" si="348"/>
        <v>478.7307364817192</v>
      </c>
      <c r="E576" s="38">
        <f t="shared" si="340"/>
        <v>5054332392.477545</v>
      </c>
      <c r="F576" s="38">
        <f t="shared" si="341"/>
        <v>3249673071.8102527</v>
      </c>
      <c r="G576" s="38">
        <f t="shared" si="342"/>
        <v>1445013751.1429622</v>
      </c>
      <c r="H576" s="19">
        <f t="shared" si="349"/>
        <v>0.0010444284477629168</v>
      </c>
      <c r="I576" s="50">
        <f t="shared" si="357"/>
        <v>0.020846589111861786</v>
      </c>
      <c r="J576" s="3">
        <f t="shared" si="350"/>
        <v>3.677277070725313</v>
      </c>
      <c r="K576" s="12">
        <f t="shared" si="368"/>
        <v>0.6751865764655404</v>
      </c>
      <c r="L576" s="3">
        <f t="shared" si="351"/>
        <v>1066.8483621481716</v>
      </c>
      <c r="M576" s="12">
        <f t="shared" si="369"/>
        <v>0.6735773726266823</v>
      </c>
      <c r="N576" s="37">
        <f t="shared" si="352"/>
        <v>254622.44415613782</v>
      </c>
      <c r="O576" s="1">
        <f t="shared" si="343"/>
        <v>472289.6226333419</v>
      </c>
      <c r="P576">
        <f t="shared" si="353"/>
        <v>687.2333101890084</v>
      </c>
      <c r="Q576" s="1">
        <f t="shared" si="354"/>
        <v>174985.02514583853</v>
      </c>
      <c r="R576" s="1">
        <f>+Q576*1000/'Material Properties'!AE$35</f>
        <v>150064779.9882315</v>
      </c>
      <c r="S576" s="1">
        <f t="shared" si="355"/>
        <v>833.6932221568417</v>
      </c>
      <c r="T576" s="1">
        <f t="shared" si="356"/>
        <v>346.5266689014786</v>
      </c>
      <c r="U576">
        <f t="shared" si="344"/>
        <v>2.4689814478325137E-05</v>
      </c>
      <c r="V576">
        <f>+'Material Properties'!AE$31+'Material Properties'!AE$33</f>
        <v>0.00029034311030761144</v>
      </c>
      <c r="W576">
        <f t="shared" si="360"/>
        <v>0.00031503292478593655</v>
      </c>
      <c r="X576" s="1">
        <f>+'Volcano Summary'!E$12*10^9/Q576/3600/24/365</f>
        <v>0</v>
      </c>
      <c r="Y576" s="3">
        <f t="shared" si="361"/>
        <v>2000</v>
      </c>
      <c r="Z576" s="1">
        <f>+Y576*'Volcano Summary'!B$19*'Volcano Summary'!B$20/1000</f>
        <v>81000000</v>
      </c>
      <c r="AA576" s="1">
        <f t="shared" si="345"/>
        <v>462896.7532078349</v>
      </c>
      <c r="AB576" s="3">
        <f t="shared" si="372"/>
        <v>128.5824314466208</v>
      </c>
      <c r="AC576" s="1">
        <f t="shared" si="362"/>
        <v>135749660.4478634</v>
      </c>
      <c r="AD576" s="36">
        <f t="shared" si="363"/>
        <v>37708.23901329539</v>
      </c>
      <c r="AE576" s="36">
        <f t="shared" si="370"/>
        <v>1571.1766255539744</v>
      </c>
      <c r="AG576" s="1">
        <f t="shared" si="346"/>
        <v>81000000000</v>
      </c>
      <c r="AH576" s="1">
        <f t="shared" si="364"/>
        <v>81000000</v>
      </c>
      <c r="AI576" s="1">
        <f t="shared" si="365"/>
        <v>81081000000</v>
      </c>
      <c r="AJ576" s="1">
        <f t="shared" si="366"/>
        <v>6820200000000</v>
      </c>
      <c r="AK576" s="1">
        <f t="shared" si="367"/>
        <v>6827020200000</v>
      </c>
      <c r="AL576" s="39">
        <f>+AJ576/('Volcano Summary'!C$8)*10^6</f>
        <v>473477.912708806</v>
      </c>
      <c r="AM576" s="1">
        <f t="shared" si="347"/>
        <v>1571.1766255539744</v>
      </c>
    </row>
    <row r="577" spans="1:39" ht="12.75">
      <c r="A577" s="1">
        <f t="shared" si="358"/>
        <v>462896.7532078349</v>
      </c>
      <c r="B577" s="1">
        <f t="shared" si="359"/>
        <v>1576.4680837838423</v>
      </c>
      <c r="C577" s="1">
        <f t="shared" si="371"/>
        <v>182000</v>
      </c>
      <c r="D577" s="1">
        <f t="shared" si="348"/>
        <v>481.3830046250071</v>
      </c>
      <c r="E577" s="38">
        <f t="shared" si="340"/>
        <v>5082334448.265053</v>
      </c>
      <c r="F577" s="38">
        <f t="shared" si="341"/>
        <v>3267676938.5095286</v>
      </c>
      <c r="G577" s="38">
        <f t="shared" si="342"/>
        <v>1453019428.7540047</v>
      </c>
      <c r="H577" s="19">
        <f t="shared" si="349"/>
        <v>0.0010386739772616097</v>
      </c>
      <c r="I577" s="50">
        <f t="shared" si="357"/>
        <v>0.020829823627715814</v>
      </c>
      <c r="J577" s="3">
        <f t="shared" si="350"/>
        <v>3.6635395753057436</v>
      </c>
      <c r="K577" s="12">
        <f t="shared" si="368"/>
        <v>0.6745134391899815</v>
      </c>
      <c r="L577" s="3">
        <f t="shared" si="351"/>
        <v>1065.7847518440537</v>
      </c>
      <c r="M577" s="12">
        <f t="shared" si="369"/>
        <v>0.6732614102320321</v>
      </c>
      <c r="N577" s="37">
        <f t="shared" si="352"/>
        <v>257451.58242453937</v>
      </c>
      <c r="O577" s="1">
        <f t="shared" si="343"/>
        <v>473587.9866654867</v>
      </c>
      <c r="P577">
        <f t="shared" si="353"/>
        <v>688.1772930469929</v>
      </c>
      <c r="Q577" s="1">
        <f t="shared" si="354"/>
        <v>177172.33308358426</v>
      </c>
      <c r="R577" s="1">
        <f>+Q577*1000/'Material Properties'!AE$35</f>
        <v>151940585.55599803</v>
      </c>
      <c r="S577" s="1">
        <f t="shared" si="355"/>
        <v>834.8383821758133</v>
      </c>
      <c r="T577" s="1">
        <f t="shared" si="356"/>
        <v>346.89861344148005</v>
      </c>
      <c r="U577">
        <f t="shared" si="344"/>
        <v>2.4663410572921396E-05</v>
      </c>
      <c r="V577">
        <f>+'Material Properties'!AE$31+'Material Properties'!AE$33</f>
        <v>0.00029034311030761144</v>
      </c>
      <c r="W577">
        <f t="shared" si="360"/>
        <v>0.0003150065208805328</v>
      </c>
      <c r="X577" s="1">
        <f>+'Volcano Summary'!E$12*10^9/Q577/3600/24/365</f>
        <v>0</v>
      </c>
      <c r="Y577" s="3">
        <f t="shared" si="361"/>
        <v>2000</v>
      </c>
      <c r="Z577" s="1">
        <f>+Y577*'Volcano Summary'!B$19*'Volcano Summary'!B$20/1000</f>
        <v>81000000</v>
      </c>
      <c r="AA577" s="1">
        <f t="shared" si="345"/>
        <v>457181.9910605725</v>
      </c>
      <c r="AB577" s="3">
        <f t="shared" si="372"/>
        <v>126.99499751682569</v>
      </c>
      <c r="AC577" s="1">
        <f t="shared" si="362"/>
        <v>136206842.43892398</v>
      </c>
      <c r="AD577" s="36">
        <f t="shared" si="363"/>
        <v>37835.234010812215</v>
      </c>
      <c r="AE577" s="36">
        <f t="shared" si="370"/>
        <v>1576.4680837838423</v>
      </c>
      <c r="AG577" s="1">
        <f t="shared" si="346"/>
        <v>81000000000</v>
      </c>
      <c r="AH577" s="1">
        <f t="shared" si="364"/>
        <v>81000000</v>
      </c>
      <c r="AI577" s="1">
        <f t="shared" si="365"/>
        <v>81081000000</v>
      </c>
      <c r="AJ577" s="1">
        <f t="shared" si="366"/>
        <v>6901200000000</v>
      </c>
      <c r="AK577" s="1">
        <f t="shared" si="367"/>
        <v>6908101200000</v>
      </c>
      <c r="AL577" s="39">
        <f>+AJ577/('Volcano Summary'!C$8)*10^6</f>
        <v>479101.1658288631</v>
      </c>
      <c r="AM577" s="1">
        <f t="shared" si="347"/>
        <v>1576.4680837838423</v>
      </c>
    </row>
    <row r="578" spans="1:39" ht="12.75">
      <c r="A578" s="1">
        <f t="shared" si="358"/>
        <v>457181.9910605725</v>
      </c>
      <c r="B578" s="1">
        <f t="shared" si="359"/>
        <v>1581.6949370796553</v>
      </c>
      <c r="C578" s="1">
        <f t="shared" si="371"/>
        <v>184000</v>
      </c>
      <c r="D578" s="1">
        <f t="shared" si="348"/>
        <v>484.02073946399236</v>
      </c>
      <c r="E578" s="38">
        <f t="shared" si="340"/>
        <v>5110183064.66564</v>
      </c>
      <c r="F578" s="38">
        <f t="shared" si="341"/>
        <v>3285582151.656739</v>
      </c>
      <c r="G578" s="38">
        <f t="shared" si="342"/>
        <v>1460981238.6478386</v>
      </c>
      <c r="H578" s="19">
        <f t="shared" si="349"/>
        <v>0.0010330135864709087</v>
      </c>
      <c r="I578" s="50">
        <f t="shared" si="357"/>
        <v>0.020813267881676326</v>
      </c>
      <c r="J578" s="3">
        <f t="shared" si="350"/>
        <v>3.650038850063023</v>
      </c>
      <c r="K578" s="12">
        <f t="shared" si="368"/>
        <v>0.6738519036530881</v>
      </c>
      <c r="L578" s="3">
        <f t="shared" si="351"/>
        <v>1064.739473207544</v>
      </c>
      <c r="M578" s="12">
        <f t="shared" si="369"/>
        <v>0.6729508935514495</v>
      </c>
      <c r="N578" s="37">
        <f t="shared" si="352"/>
        <v>260280.72069294093</v>
      </c>
      <c r="O578" s="1">
        <f t="shared" si="343"/>
        <v>474873.49495350686</v>
      </c>
      <c r="P578">
        <f t="shared" si="353"/>
        <v>689.1106550863271</v>
      </c>
      <c r="Q578" s="1">
        <f t="shared" si="354"/>
        <v>179362.21794305387</v>
      </c>
      <c r="R578" s="1">
        <f>+Q578*1000/'Material Properties'!AE$35</f>
        <v>153818601.05682147</v>
      </c>
      <c r="S578" s="1">
        <f t="shared" si="355"/>
        <v>835.970657917508</v>
      </c>
      <c r="T578" s="1">
        <f t="shared" si="356"/>
        <v>347.2627522920543</v>
      </c>
      <c r="U578">
        <f t="shared" si="344"/>
        <v>2.4637615435681294E-05</v>
      </c>
      <c r="V578">
        <f>+'Material Properties'!AE$31+'Material Properties'!AE$33</f>
        <v>0.00029034311030761144</v>
      </c>
      <c r="W578">
        <f t="shared" si="360"/>
        <v>0.00031498072574329274</v>
      </c>
      <c r="X578" s="1">
        <f>+'Volcano Summary'!E$12*10^9/Q578/3600/24/365</f>
        <v>0</v>
      </c>
      <c r="Y578" s="3">
        <f t="shared" si="361"/>
        <v>2000</v>
      </c>
      <c r="Z578" s="1">
        <f>+Y578*'Volcano Summary'!B$19*'Volcano Summary'!B$20/1000</f>
        <v>81000000</v>
      </c>
      <c r="AA578" s="1">
        <f t="shared" si="345"/>
        <v>451600.12475825247</v>
      </c>
      <c r="AB578" s="3">
        <f t="shared" si="372"/>
        <v>125.44447909951458</v>
      </c>
      <c r="AC578" s="1">
        <f t="shared" si="362"/>
        <v>136658442.56368223</v>
      </c>
      <c r="AD578" s="36">
        <f t="shared" si="363"/>
        <v>37960.67848991173</v>
      </c>
      <c r="AE578" s="36">
        <f t="shared" si="370"/>
        <v>1581.6949370796553</v>
      </c>
      <c r="AG578" s="1">
        <f t="shared" si="346"/>
        <v>81000000000</v>
      </c>
      <c r="AH578" s="1">
        <f t="shared" si="364"/>
        <v>81000000</v>
      </c>
      <c r="AI578" s="1">
        <f t="shared" si="365"/>
        <v>81081000000</v>
      </c>
      <c r="AJ578" s="1">
        <f t="shared" si="366"/>
        <v>6982200000000</v>
      </c>
      <c r="AK578" s="1">
        <f t="shared" si="367"/>
        <v>6989182200000</v>
      </c>
      <c r="AL578" s="39">
        <f>+AJ578/('Volcano Summary'!C$8)*10^6</f>
        <v>484724.41894892015</v>
      </c>
      <c r="AM578" s="1">
        <f t="shared" si="347"/>
        <v>1581.6949370796553</v>
      </c>
    </row>
    <row r="579" spans="1:39" ht="12.75">
      <c r="A579" s="1">
        <f t="shared" si="358"/>
        <v>451600.12475825247</v>
      </c>
      <c r="B579" s="1">
        <f t="shared" si="359"/>
        <v>1586.8586716144837</v>
      </c>
      <c r="C579" s="1">
        <f t="shared" si="371"/>
        <v>186000</v>
      </c>
      <c r="D579" s="1">
        <f t="shared" si="348"/>
        <v>486.6441773213158</v>
      </c>
      <c r="E579" s="38">
        <f t="shared" si="340"/>
        <v>5137880736.721062</v>
      </c>
      <c r="F579" s="38">
        <f t="shared" si="341"/>
        <v>3303390315.434076</v>
      </c>
      <c r="G579" s="38">
        <f t="shared" si="342"/>
        <v>1468899894.1470895</v>
      </c>
      <c r="H579" s="19">
        <f t="shared" si="349"/>
        <v>0.0010274447395059775</v>
      </c>
      <c r="I579" s="50">
        <f t="shared" si="357"/>
        <v>0.02079691699193715</v>
      </c>
      <c r="J579" s="3">
        <f t="shared" si="350"/>
        <v>3.63676829613083</v>
      </c>
      <c r="K579" s="12">
        <f t="shared" si="368"/>
        <v>0.6732016465104107</v>
      </c>
      <c r="L579" s="3">
        <f t="shared" si="351"/>
        <v>1063.7120153287574</v>
      </c>
      <c r="M579" s="12">
        <f t="shared" si="369"/>
        <v>0.6726456708110091</v>
      </c>
      <c r="N579" s="37">
        <f t="shared" si="352"/>
        <v>263109.8589613424</v>
      </c>
      <c r="O579" s="1">
        <f t="shared" si="343"/>
        <v>476146.38851099246</v>
      </c>
      <c r="P579">
        <f t="shared" si="353"/>
        <v>690.033614044267</v>
      </c>
      <c r="Q579" s="1">
        <f t="shared" si="354"/>
        <v>181554.6468697725</v>
      </c>
      <c r="R579" s="1">
        <f>+Q579*1000/'Material Properties'!AE$35</f>
        <v>155698798.31515062</v>
      </c>
      <c r="S579" s="1">
        <f t="shared" si="355"/>
        <v>837.0903135223151</v>
      </c>
      <c r="T579" s="1">
        <f t="shared" si="356"/>
        <v>347.61933519653064</v>
      </c>
      <c r="U579">
        <f t="shared" si="344"/>
        <v>2.4612407788402635E-05</v>
      </c>
      <c r="V579">
        <f>+'Material Properties'!AE$31+'Material Properties'!AE$33</f>
        <v>0.00029034311030761144</v>
      </c>
      <c r="W579">
        <f t="shared" si="360"/>
        <v>0.00031495551809601407</v>
      </c>
      <c r="X579" s="1">
        <f>+'Volcano Summary'!E$12*10^9/Q579/3600/24/365</f>
        <v>0</v>
      </c>
      <c r="Y579" s="3">
        <f t="shared" si="361"/>
        <v>2000</v>
      </c>
      <c r="Z579" s="1">
        <f>+Y579*'Volcano Summary'!B$19*'Volcano Summary'!B$20/1000</f>
        <v>81000000</v>
      </c>
      <c r="AA579" s="1">
        <f t="shared" si="345"/>
        <v>446146.6638091647</v>
      </c>
      <c r="AB579" s="3">
        <f t="shared" si="372"/>
        <v>123.92962883587909</v>
      </c>
      <c r="AC579" s="1">
        <f t="shared" si="362"/>
        <v>137104589.22749138</v>
      </c>
      <c r="AD579" s="36">
        <f t="shared" si="363"/>
        <v>38084.60811874761</v>
      </c>
      <c r="AE579" s="36">
        <f t="shared" si="370"/>
        <v>1586.8586716144837</v>
      </c>
      <c r="AG579" s="1">
        <f t="shared" si="346"/>
        <v>81000000000.00002</v>
      </c>
      <c r="AH579" s="1">
        <f t="shared" si="364"/>
        <v>81000000</v>
      </c>
      <c r="AI579" s="1">
        <f t="shared" si="365"/>
        <v>81081000000.00002</v>
      </c>
      <c r="AJ579" s="1">
        <f t="shared" si="366"/>
        <v>7063200000000</v>
      </c>
      <c r="AK579" s="1">
        <f t="shared" si="367"/>
        <v>7070263200000</v>
      </c>
      <c r="AL579" s="39">
        <f>+AJ579/('Volcano Summary'!C$8)*10^6</f>
        <v>490347.67206897726</v>
      </c>
      <c r="AM579" s="1">
        <f t="shared" si="347"/>
        <v>1586.8586716144837</v>
      </c>
    </row>
    <row r="580" spans="1:39" ht="12.75">
      <c r="A580" s="1">
        <f t="shared" si="358"/>
        <v>446146.6638091647</v>
      </c>
      <c r="B580" s="1">
        <f t="shared" si="359"/>
        <v>1591.960723878028</v>
      </c>
      <c r="C580" s="1">
        <f t="shared" si="371"/>
        <v>188000</v>
      </c>
      <c r="D580" s="1">
        <f t="shared" si="348"/>
        <v>489.25354818356766</v>
      </c>
      <c r="E580" s="38">
        <f t="shared" si="340"/>
        <v>5165429892.578471</v>
      </c>
      <c r="F580" s="38">
        <f t="shared" si="341"/>
        <v>3321102991.013973</v>
      </c>
      <c r="G580" s="38">
        <f t="shared" si="342"/>
        <v>1476776089.4494765</v>
      </c>
      <c r="H580" s="19">
        <f t="shared" si="349"/>
        <v>0.001021964995157072</v>
      </c>
      <c r="I580" s="50">
        <f t="shared" si="357"/>
        <v>0.020780766241555164</v>
      </c>
      <c r="J580" s="3">
        <f t="shared" si="350"/>
        <v>3.623721567141117</v>
      </c>
      <c r="K580" s="12">
        <f t="shared" si="368"/>
        <v>0.6725623567899148</v>
      </c>
      <c r="L580" s="3">
        <f t="shared" si="351"/>
        <v>1062.7018868472057</v>
      </c>
      <c r="M580" s="12">
        <f t="shared" si="369"/>
        <v>0.6723455960442457</v>
      </c>
      <c r="N580" s="37">
        <f t="shared" si="352"/>
        <v>265938.9972297439</v>
      </c>
      <c r="O580" s="1">
        <f t="shared" si="343"/>
        <v>477406.9015558747</v>
      </c>
      <c r="P580">
        <f t="shared" si="353"/>
        <v>690.946381100498</v>
      </c>
      <c r="Q580" s="1">
        <f t="shared" si="354"/>
        <v>183749.58772938693</v>
      </c>
      <c r="R580" s="1">
        <f>+Q580*1000/'Material Properties'!AE$35</f>
        <v>157581149.7730008</v>
      </c>
      <c r="S580" s="1">
        <f t="shared" si="355"/>
        <v>838.1976051755362</v>
      </c>
      <c r="T580" s="1">
        <f t="shared" si="356"/>
        <v>347.9686012641597</v>
      </c>
      <c r="U580">
        <f t="shared" si="344"/>
        <v>2.4587767339672116E-05</v>
      </c>
      <c r="V580">
        <f>+'Material Properties'!AE$31+'Material Properties'!AE$33</f>
        <v>0.00029034311030761144</v>
      </c>
      <c r="W580">
        <f t="shared" si="360"/>
        <v>0.00031493087764728356</v>
      </c>
      <c r="X580" s="1">
        <f>+'Volcano Summary'!E$12*10^9/Q580/3600/24/365</f>
        <v>0</v>
      </c>
      <c r="Y580" s="3">
        <f t="shared" si="361"/>
        <v>2000</v>
      </c>
      <c r="Z580" s="1">
        <f>+Y580*'Volcano Summary'!B$19*'Volcano Summary'!B$20/1000</f>
        <v>81000000</v>
      </c>
      <c r="AA580" s="1">
        <f t="shared" si="345"/>
        <v>440817.3155702038</v>
      </c>
      <c r="AB580" s="3">
        <f t="shared" si="372"/>
        <v>122.44925432505661</v>
      </c>
      <c r="AC580" s="1">
        <f t="shared" si="362"/>
        <v>137545406.54306158</v>
      </c>
      <c r="AD580" s="36">
        <f t="shared" si="363"/>
        <v>38207.05737307267</v>
      </c>
      <c r="AE580" s="36">
        <f t="shared" si="370"/>
        <v>1591.960723878028</v>
      </c>
      <c r="AG580" s="1">
        <f t="shared" si="346"/>
        <v>81000000000.00002</v>
      </c>
      <c r="AH580" s="1">
        <f t="shared" si="364"/>
        <v>81000000</v>
      </c>
      <c r="AI580" s="1">
        <f t="shared" si="365"/>
        <v>81081000000.00002</v>
      </c>
      <c r="AJ580" s="1">
        <f t="shared" si="366"/>
        <v>7144200000000</v>
      </c>
      <c r="AK580" s="1">
        <f t="shared" si="367"/>
        <v>7151344200000</v>
      </c>
      <c r="AL580" s="39">
        <f>+AJ580/('Volcano Summary'!C$8)*10^6</f>
        <v>495970.9251890344</v>
      </c>
      <c r="AM580" s="1">
        <f t="shared" si="347"/>
        <v>1591.960723878028</v>
      </c>
    </row>
    <row r="581" spans="1:39" ht="12.75">
      <c r="A581" s="1">
        <f t="shared" si="358"/>
        <v>440817.3155702038</v>
      </c>
      <c r="B581" s="1">
        <f t="shared" si="359"/>
        <v>1597.0024828426533</v>
      </c>
      <c r="C581" s="1">
        <f aca="true" t="shared" si="373" ref="C581:C638">+C411*10</f>
        <v>190000</v>
      </c>
      <c r="D581" s="1">
        <f t="shared" si="348"/>
        <v>491.84907593659347</v>
      </c>
      <c r="E581" s="38">
        <f t="shared" si="340"/>
        <v>5192832895.97471</v>
      </c>
      <c r="F581" s="38">
        <f t="shared" si="341"/>
        <v>3338721698.1563888</v>
      </c>
      <c r="G581" s="38">
        <f t="shared" si="342"/>
        <v>1484610500.3380675</v>
      </c>
      <c r="H581" s="19">
        <f t="shared" si="349"/>
        <v>0.0010165720023929807</v>
      </c>
      <c r="I581" s="50">
        <f t="shared" si="357"/>
        <v>0.020764811071191668</v>
      </c>
      <c r="J581" s="3">
        <f t="shared" si="350"/>
        <v>3.6108925569953243</v>
      </c>
      <c r="K581" s="12">
        <f t="shared" si="368"/>
        <v>0.6719337352927709</v>
      </c>
      <c r="L581" s="3">
        <f t="shared" si="351"/>
        <v>1061.708615004999</v>
      </c>
      <c r="M581" s="12">
        <f t="shared" si="369"/>
        <v>0.6720505288108924</v>
      </c>
      <c r="N581" s="37">
        <f t="shared" si="352"/>
        <v>268768.1354981455</v>
      </c>
      <c r="O581" s="1">
        <f t="shared" si="343"/>
        <v>478655.2617676498</v>
      </c>
      <c r="P581">
        <f t="shared" si="353"/>
        <v>691.8491611382135</v>
      </c>
      <c r="Q581" s="1">
        <f t="shared" si="354"/>
        <v>185947.00908507366</v>
      </c>
      <c r="R581" s="1">
        <f>+Q581*1000/'Material Properties'!AE$35</f>
        <v>159465628.4705793</v>
      </c>
      <c r="S581" s="1">
        <f t="shared" si="355"/>
        <v>839.2927814241016</v>
      </c>
      <c r="T581" s="1">
        <f t="shared" si="356"/>
        <v>348.3107795321756</v>
      </c>
      <c r="U581">
        <f t="shared" si="344"/>
        <v>2.4563674728172726E-05</v>
      </c>
      <c r="V581">
        <f>+'Material Properties'!AE$31+'Material Properties'!AE$33</f>
        <v>0.00029034311030761144</v>
      </c>
      <c r="W581">
        <f t="shared" si="360"/>
        <v>0.00031490678503578415</v>
      </c>
      <c r="X581" s="1">
        <f>+'Volcano Summary'!E$12*10^9/Q581/3600/24/365</f>
        <v>0</v>
      </c>
      <c r="Y581" s="3">
        <f t="shared" si="361"/>
        <v>2000</v>
      </c>
      <c r="Z581" s="1">
        <f>+Y581*'Volcano Summary'!B$19*'Volcano Summary'!B$20/1000</f>
        <v>81000000</v>
      </c>
      <c r="AA581" s="1">
        <f t="shared" si="345"/>
        <v>435607.9745436574</v>
      </c>
      <c r="AB581" s="3">
        <f t="shared" si="372"/>
        <v>121.00221515101595</v>
      </c>
      <c r="AC581" s="1">
        <f t="shared" si="362"/>
        <v>137981014.51760525</v>
      </c>
      <c r="AD581" s="36">
        <f t="shared" si="363"/>
        <v>38328.05958822368</v>
      </c>
      <c r="AE581" s="36">
        <f t="shared" si="370"/>
        <v>1597.0024828426533</v>
      </c>
      <c r="AG581" s="1">
        <f t="shared" si="346"/>
        <v>81000000000</v>
      </c>
      <c r="AH581" s="1">
        <f t="shared" si="364"/>
        <v>81000000</v>
      </c>
      <c r="AI581" s="1">
        <f t="shared" si="365"/>
        <v>81081000000</v>
      </c>
      <c r="AJ581" s="1">
        <f t="shared" si="366"/>
        <v>7225200000000</v>
      </c>
      <c r="AK581" s="1">
        <f t="shared" si="367"/>
        <v>7232425200000</v>
      </c>
      <c r="AL581" s="39">
        <f>+AJ581/('Volcano Summary'!C$8)*10^6</f>
        <v>501594.17830909137</v>
      </c>
      <c r="AM581" s="1">
        <f t="shared" si="347"/>
        <v>1597.0024828426533</v>
      </c>
    </row>
    <row r="582" spans="1:39" ht="12.75">
      <c r="A582" s="1">
        <f t="shared" si="358"/>
        <v>435607.9745436574</v>
      </c>
      <c r="B582" s="1">
        <f t="shared" si="359"/>
        <v>1601.9852920134654</v>
      </c>
      <c r="C582" s="1">
        <f t="shared" si="373"/>
        <v>192000</v>
      </c>
      <c r="D582" s="1">
        <f t="shared" si="348"/>
        <v>494.4309785896827</v>
      </c>
      <c r="E582" s="38">
        <f t="shared" si="340"/>
        <v>5220092048.603259</v>
      </c>
      <c r="F582" s="38">
        <f t="shared" si="341"/>
        <v>3356247916.7306166</v>
      </c>
      <c r="G582" s="38">
        <f t="shared" si="342"/>
        <v>1492403784.8579743</v>
      </c>
      <c r="H582" s="19">
        <f t="shared" si="349"/>
        <v>0.00101126349612276</v>
      </c>
      <c r="I582" s="50">
        <f t="shared" si="357"/>
        <v>0.020749047072246198</v>
      </c>
      <c r="J582" s="3">
        <f t="shared" si="350"/>
        <v>3.5982753883495406</v>
      </c>
      <c r="K582" s="12">
        <f t="shared" si="368"/>
        <v>0.6713154940291275</v>
      </c>
      <c r="L582" s="3">
        <f t="shared" si="351"/>
        <v>1060.731744755322</v>
      </c>
      <c r="M582" s="12">
        <f t="shared" si="369"/>
        <v>0.6717603339320395</v>
      </c>
      <c r="N582" s="37">
        <f t="shared" si="352"/>
        <v>271597.2737665471</v>
      </c>
      <c r="O582" s="1">
        <f t="shared" si="343"/>
        <v>479891.6905323773</v>
      </c>
      <c r="P582">
        <f t="shared" si="353"/>
        <v>692.7421529922784</v>
      </c>
      <c r="Q582" s="1">
        <f t="shared" si="354"/>
        <v>188146.8801758711</v>
      </c>
      <c r="R582" s="1">
        <f>+Q582*1000/'Material Properties'!AE$35</f>
        <v>161352208.02770343</v>
      </c>
      <c r="S582" s="1">
        <f t="shared" si="355"/>
        <v>840.376083477622</v>
      </c>
      <c r="T582" s="1">
        <f t="shared" si="356"/>
        <v>348.64608949252465</v>
      </c>
      <c r="U582">
        <f t="shared" si="344"/>
        <v>2.4540111469859387E-05</v>
      </c>
      <c r="V582">
        <f>+'Material Properties'!AE$31+'Material Properties'!AE$33</f>
        <v>0.00029034311030761144</v>
      </c>
      <c r="W582">
        <f t="shared" si="360"/>
        <v>0.0003148832217774708</v>
      </c>
      <c r="X582" s="1">
        <f>+'Volcano Summary'!E$12*10^9/Q582/3600/24/365</f>
        <v>0</v>
      </c>
      <c r="Y582" s="3">
        <f t="shared" si="361"/>
        <v>2000</v>
      </c>
      <c r="Z582" s="1">
        <f>+Y582*'Volcano Summary'!B$19*'Volcano Summary'!B$20/1000</f>
        <v>81000000</v>
      </c>
      <c r="AA582" s="1">
        <f t="shared" si="345"/>
        <v>430514.7123581582</v>
      </c>
      <c r="AB582" s="3">
        <f t="shared" si="372"/>
        <v>119.58742009948838</v>
      </c>
      <c r="AC582" s="1">
        <f t="shared" si="362"/>
        <v>138411529.2299634</v>
      </c>
      <c r="AD582" s="36">
        <f t="shared" si="363"/>
        <v>38447.64700832317</v>
      </c>
      <c r="AE582" s="36">
        <f t="shared" si="370"/>
        <v>1601.9852920134654</v>
      </c>
      <c r="AG582" s="1">
        <f t="shared" si="346"/>
        <v>81000000000</v>
      </c>
      <c r="AH582" s="1">
        <f t="shared" si="364"/>
        <v>81000000</v>
      </c>
      <c r="AI582" s="1">
        <f t="shared" si="365"/>
        <v>81081000000</v>
      </c>
      <c r="AJ582" s="1">
        <f t="shared" si="366"/>
        <v>7306200000000</v>
      </c>
      <c r="AK582" s="1">
        <f t="shared" si="367"/>
        <v>7313506200000</v>
      </c>
      <c r="AL582" s="39">
        <f>+AJ582/('Volcano Summary'!C$8)*10^6</f>
        <v>507217.43142914854</v>
      </c>
      <c r="AM582" s="1">
        <f t="shared" si="347"/>
        <v>1601.9852920134654</v>
      </c>
    </row>
    <row r="583" spans="1:39" ht="12.75">
      <c r="A583" s="1">
        <f t="shared" si="358"/>
        <v>430514.7123581582</v>
      </c>
      <c r="B583" s="1">
        <f t="shared" si="359"/>
        <v>1606.9104513697557</v>
      </c>
      <c r="C583" s="1">
        <f t="shared" si="373"/>
        <v>194000</v>
      </c>
      <c r="D583" s="1">
        <f t="shared" si="348"/>
        <v>496.9994684892747</v>
      </c>
      <c r="E583" s="38">
        <f t="shared" si="340"/>
        <v>5247209592.370485</v>
      </c>
      <c r="F583" s="38">
        <f t="shared" si="341"/>
        <v>3373683088.165947</v>
      </c>
      <c r="G583" s="38">
        <f t="shared" si="342"/>
        <v>1500156583.961409</v>
      </c>
      <c r="H583" s="19">
        <f t="shared" si="349"/>
        <v>0.0010060372931984132</v>
      </c>
      <c r="I583" s="50">
        <f t="shared" si="357"/>
        <v>0.020733469980357626</v>
      </c>
      <c r="J583" s="3">
        <f t="shared" si="350"/>
        <v>3.5858644017649546</v>
      </c>
      <c r="K583" s="12">
        <f t="shared" si="368"/>
        <v>0.6707073556864828</v>
      </c>
      <c r="L583" s="3">
        <f t="shared" si="351"/>
        <v>1059.7708379224193</v>
      </c>
      <c r="M583" s="12">
        <f t="shared" si="369"/>
        <v>0.671474881240594</v>
      </c>
      <c r="N583" s="37">
        <f t="shared" si="352"/>
        <v>274426.4120349486</v>
      </c>
      <c r="O583" s="1">
        <f t="shared" si="343"/>
        <v>481116.4031761514</v>
      </c>
      <c r="P583">
        <f t="shared" si="353"/>
        <v>693.62554968524</v>
      </c>
      <c r="Q583" s="1">
        <f t="shared" si="354"/>
        <v>190349.17089588937</v>
      </c>
      <c r="R583" s="1">
        <f>+Q583*1000/'Material Properties'!AE$35</f>
        <v>163240862.62597105</v>
      </c>
      <c r="S583" s="1">
        <f t="shared" si="355"/>
        <v>841.4477454946962</v>
      </c>
      <c r="T583" s="1">
        <f t="shared" si="356"/>
        <v>348.9747415858253</v>
      </c>
      <c r="U583">
        <f t="shared" si="344"/>
        <v>2.4517059908698254E-05</v>
      </c>
      <c r="V583">
        <f>+'Material Properties'!AE$31+'Material Properties'!AE$33</f>
        <v>0.00029034311030761144</v>
      </c>
      <c r="W583">
        <f t="shared" si="360"/>
        <v>0.0003148601702163097</v>
      </c>
      <c r="X583" s="1">
        <f>+'Volcano Summary'!E$12*10^9/Q583/3600/24/365</f>
        <v>0</v>
      </c>
      <c r="Y583" s="3">
        <f t="shared" si="361"/>
        <v>2000</v>
      </c>
      <c r="Z583" s="1">
        <f>+Y583*'Volcano Summary'!B$19*'Volcano Summary'!B$20/1000</f>
        <v>81000000</v>
      </c>
      <c r="AA583" s="1">
        <f t="shared" si="345"/>
        <v>425533.7683834861</v>
      </c>
      <c r="AB583" s="3">
        <f t="shared" si="372"/>
        <v>118.20382455096835</v>
      </c>
      <c r="AC583" s="1">
        <f t="shared" si="362"/>
        <v>138837062.99834687</v>
      </c>
      <c r="AD583" s="36">
        <f t="shared" si="363"/>
        <v>38565.85083287414</v>
      </c>
      <c r="AE583" s="36">
        <f t="shared" si="370"/>
        <v>1606.9104513697557</v>
      </c>
      <c r="AG583" s="1">
        <f t="shared" si="346"/>
        <v>81000000000</v>
      </c>
      <c r="AH583" s="1">
        <f t="shared" si="364"/>
        <v>81000000</v>
      </c>
      <c r="AI583" s="1">
        <f t="shared" si="365"/>
        <v>81081000000</v>
      </c>
      <c r="AJ583" s="1">
        <f t="shared" si="366"/>
        <v>7387200000000</v>
      </c>
      <c r="AK583" s="1">
        <f t="shared" si="367"/>
        <v>7394587200000</v>
      </c>
      <c r="AL583" s="39">
        <f>+AJ583/('Volcano Summary'!C$8)*10^6</f>
        <v>512840.68454920565</v>
      </c>
      <c r="AM583" s="1">
        <f t="shared" si="347"/>
        <v>1606.9104513697557</v>
      </c>
    </row>
    <row r="584" spans="1:39" ht="12.75">
      <c r="A584" s="1">
        <f t="shared" si="358"/>
        <v>425533.7683834861</v>
      </c>
      <c r="B584" s="1">
        <f t="shared" si="359"/>
        <v>1611.742725961302</v>
      </c>
      <c r="C584" s="1">
        <f t="shared" si="373"/>
        <v>196000</v>
      </c>
      <c r="D584" s="1">
        <f t="shared" si="348"/>
        <v>499.5547525227759</v>
      </c>
      <c r="E584" s="38">
        <f t="shared" si="340"/>
        <v>5274187711.547503</v>
      </c>
      <c r="F584" s="38">
        <f t="shared" si="341"/>
        <v>3391028616.835198</v>
      </c>
      <c r="G584" s="38">
        <f t="shared" si="342"/>
        <v>1507869522.1228933</v>
      </c>
      <c r="H584" s="19">
        <f t="shared" si="349"/>
        <v>0.0010008912886424874</v>
      </c>
      <c r="I584" s="50">
        <v>0.02</v>
      </c>
      <c r="J584" s="3">
        <f t="shared" si="350"/>
        <v>3.5017825772849744</v>
      </c>
      <c r="K584" s="12">
        <f t="shared" si="368"/>
        <v>0.6665873462869638</v>
      </c>
      <c r="L584" s="3">
        <f t="shared" si="351"/>
        <v>1053.2608961772487</v>
      </c>
      <c r="M584" s="12">
        <f t="shared" si="369"/>
        <v>0.6695409992775545</v>
      </c>
      <c r="N584" s="37">
        <f t="shared" si="352"/>
        <v>277255.5503033501</v>
      </c>
      <c r="O584" s="1">
        <f t="shared" si="343"/>
        <v>489642.20518189715</v>
      </c>
      <c r="P584">
        <f t="shared" si="353"/>
        <v>699.7443856022692</v>
      </c>
      <c r="Q584" s="1">
        <f t="shared" si="354"/>
        <v>194008.01470183674</v>
      </c>
      <c r="R584" s="1">
        <f>+Q584*1000/'Material Properties'!AE$35</f>
        <v>166378637.36008438</v>
      </c>
      <c r="S584" s="1">
        <f t="shared" si="355"/>
        <v>848.8705987759407</v>
      </c>
      <c r="T584" s="1">
        <f t="shared" si="356"/>
        <v>351.1705104466272</v>
      </c>
      <c r="U584">
        <f t="shared" si="344"/>
        <v>2.436415361547409E-05</v>
      </c>
      <c r="V584">
        <f>+'Material Properties'!AE$31+'Material Properties'!AE$33</f>
        <v>0.00029034311030761144</v>
      </c>
      <c r="W584">
        <f t="shared" si="360"/>
        <v>0.00031470726392308554</v>
      </c>
      <c r="X584" s="1">
        <f>+'Volcano Summary'!E$12*10^9/Q584/3600/24/365</f>
        <v>0</v>
      </c>
      <c r="Y584" s="3">
        <f t="shared" si="361"/>
        <v>2000</v>
      </c>
      <c r="Z584" s="1">
        <f>+Y584*'Volcano Summary'!B$19*'Volcano Summary'!B$20/1000</f>
        <v>81000000</v>
      </c>
      <c r="AA584" s="1">
        <f t="shared" si="345"/>
        <v>417508.52470958844</v>
      </c>
      <c r="AB584" s="3">
        <f t="shared" si="372"/>
        <v>115.9745901971079</v>
      </c>
      <c r="AC584" s="1">
        <f t="shared" si="362"/>
        <v>139254571.52305645</v>
      </c>
      <c r="AD584" s="36">
        <f t="shared" si="363"/>
        <v>38681.82542307125</v>
      </c>
      <c r="AE584" s="36">
        <f t="shared" si="370"/>
        <v>1611.742725961302</v>
      </c>
      <c r="AG584" s="1">
        <f t="shared" si="346"/>
        <v>81000000000</v>
      </c>
      <c r="AH584" s="1">
        <f t="shared" si="364"/>
        <v>81000000</v>
      </c>
      <c r="AI584" s="1">
        <f t="shared" si="365"/>
        <v>81081000000</v>
      </c>
      <c r="AJ584" s="1">
        <f t="shared" si="366"/>
        <v>7468200000000</v>
      </c>
      <c r="AK584" s="1">
        <f t="shared" si="367"/>
        <v>7475668200000</v>
      </c>
      <c r="AL584" s="39">
        <f>+AJ584/('Volcano Summary'!C$8)*10^6</f>
        <v>518463.9376692627</v>
      </c>
      <c r="AM584" s="1">
        <f t="shared" si="347"/>
        <v>1611.742725961302</v>
      </c>
    </row>
    <row r="585" spans="1:39" ht="12.75">
      <c r="A585" s="1">
        <f t="shared" si="358"/>
        <v>417508.52470958844</v>
      </c>
      <c r="B585" s="1">
        <f t="shared" si="359"/>
        <v>1616.5202984709974</v>
      </c>
      <c r="C585" s="1">
        <f t="shared" si="373"/>
        <v>198000</v>
      </c>
      <c r="D585" s="1">
        <f t="shared" si="348"/>
        <v>502.0970323130403</v>
      </c>
      <c r="E585" s="38">
        <f t="shared" si="340"/>
        <v>5301028534.82346</v>
      </c>
      <c r="F585" s="38">
        <f t="shared" si="341"/>
        <v>3408285871.37487</v>
      </c>
      <c r="G585" s="38">
        <f t="shared" si="342"/>
        <v>1515543207.9262803</v>
      </c>
      <c r="H585" s="19">
        <f t="shared" si="349"/>
        <v>0.0009958234520857855</v>
      </c>
      <c r="I585" s="50">
        <f>+I$584*LN(H$584)/LN(H585)</f>
        <v>0.01998531183629728</v>
      </c>
      <c r="J585" s="3">
        <f t="shared" si="350"/>
        <v>3.4901842223832467</v>
      </c>
      <c r="K585" s="12">
        <f t="shared" si="368"/>
        <v>0.6660190268967792</v>
      </c>
      <c r="L585" s="3">
        <f t="shared" si="351"/>
        <v>1052.362906448588</v>
      </c>
      <c r="M585" s="12">
        <f t="shared" si="369"/>
        <v>0.6692742371148147</v>
      </c>
      <c r="N585" s="37">
        <f t="shared" si="352"/>
        <v>280084.68857175164</v>
      </c>
      <c r="O585" s="1">
        <f t="shared" si="343"/>
        <v>490850.5058667873</v>
      </c>
      <c r="P585">
        <f t="shared" si="353"/>
        <v>700.6072408038524</v>
      </c>
      <c r="Q585" s="1">
        <f t="shared" si="354"/>
        <v>196229.36085166121</v>
      </c>
      <c r="R585" s="1">
        <f>+Q585*1000/'Material Properties'!AE$35</f>
        <v>168283633.63604167</v>
      </c>
      <c r="S585" s="1">
        <f t="shared" si="355"/>
        <v>849.9173415961701</v>
      </c>
      <c r="T585" s="1">
        <f t="shared" si="356"/>
        <v>351.46918755343324</v>
      </c>
      <c r="U585">
        <f t="shared" si="344"/>
        <v>2.4343501937720497E-05</v>
      </c>
      <c r="V585">
        <f>+'Material Properties'!AE$31+'Material Properties'!AE$33</f>
        <v>0.00029034311030761144</v>
      </c>
      <c r="W585">
        <f t="shared" si="360"/>
        <v>0.00031468661224533196</v>
      </c>
      <c r="X585" s="1">
        <f>+'Volcano Summary'!E$12*10^9/Q585/3600/24/365</f>
        <v>0</v>
      </c>
      <c r="Y585" s="3">
        <f t="shared" si="361"/>
        <v>2000</v>
      </c>
      <c r="Z585" s="1">
        <f>+Y585*'Volcano Summary'!B$19*'Volcano Summary'!B$20/1000</f>
        <v>81000000</v>
      </c>
      <c r="AA585" s="1">
        <f t="shared" si="345"/>
        <v>412782.2648376846</v>
      </c>
      <c r="AB585" s="3">
        <f t="shared" si="372"/>
        <v>114.66174023269016</v>
      </c>
      <c r="AC585" s="1">
        <f t="shared" si="362"/>
        <v>139667353.78789413</v>
      </c>
      <c r="AD585" s="36">
        <f t="shared" si="363"/>
        <v>38796.48716330394</v>
      </c>
      <c r="AE585" s="36">
        <f t="shared" si="370"/>
        <v>1616.5202984709974</v>
      </c>
      <c r="AG585" s="1">
        <f t="shared" si="346"/>
        <v>81000000000</v>
      </c>
      <c r="AH585" s="1">
        <f t="shared" si="364"/>
        <v>81000000</v>
      </c>
      <c r="AI585" s="1">
        <f t="shared" si="365"/>
        <v>81081000000</v>
      </c>
      <c r="AJ585" s="1">
        <f t="shared" si="366"/>
        <v>7549200000000</v>
      </c>
      <c r="AK585" s="1">
        <f t="shared" si="367"/>
        <v>7556749200000</v>
      </c>
      <c r="AL585" s="39">
        <f>+AJ585/('Volcano Summary'!C$8)*10^6</f>
        <v>524087.19078931975</v>
      </c>
      <c r="AM585" s="1">
        <f t="shared" si="347"/>
        <v>1616.5202984709974</v>
      </c>
    </row>
    <row r="586" spans="1:39" ht="12.75">
      <c r="A586" s="1">
        <f t="shared" si="358"/>
        <v>412782.2648376846</v>
      </c>
      <c r="B586" s="1">
        <f t="shared" si="359"/>
        <v>1625.9683787235374</v>
      </c>
      <c r="C586" s="1">
        <f t="shared" si="373"/>
        <v>200000</v>
      </c>
      <c r="D586" s="1">
        <f t="shared" si="348"/>
        <v>504.626504404032</v>
      </c>
      <c r="E586" s="38">
        <f t="shared" si="340"/>
        <v>5327734137.265712</v>
      </c>
      <c r="F586" s="38">
        <f t="shared" si="341"/>
        <v>3425456185.945439</v>
      </c>
      <c r="G586" s="38">
        <f t="shared" si="342"/>
        <v>1523178234.6251667</v>
      </c>
      <c r="H586" s="19">
        <f t="shared" si="349"/>
        <v>0.0009908318244015028</v>
      </c>
      <c r="I586" s="50">
        <f aca="true" t="shared" si="374" ref="I586:I595">+I$584*LN(H$584)/LN(H586)</f>
        <v>0.01997079252944989</v>
      </c>
      <c r="J586" s="3">
        <f t="shared" si="350"/>
        <v>3.478769679669874</v>
      </c>
      <c r="K586" s="12">
        <f t="shared" si="368"/>
        <v>0.6654597143038239</v>
      </c>
      <c r="L586" s="3">
        <f t="shared" si="351"/>
        <v>1051.4791481741763</v>
      </c>
      <c r="M586" s="12">
        <f t="shared" si="369"/>
        <v>0.6690117026324072</v>
      </c>
      <c r="N586" s="37">
        <f t="shared" si="352"/>
        <v>282913.8268401532</v>
      </c>
      <c r="O586" s="1">
        <f t="shared" si="343"/>
        <v>492047.5237725715</v>
      </c>
      <c r="P586">
        <f t="shared" si="353"/>
        <v>701.4609923385416</v>
      </c>
      <c r="Q586" s="1">
        <f t="shared" si="354"/>
        <v>198453.01372158818</v>
      </c>
      <c r="R586" s="1">
        <f>+Q586*1000/'Material Properties'!AE$35</f>
        <v>170190608.12381673</v>
      </c>
      <c r="S586" s="1">
        <f t="shared" si="355"/>
        <v>850.9530406190836</v>
      </c>
      <c r="T586" s="1">
        <f t="shared" si="356"/>
        <v>351.76213463376087</v>
      </c>
      <c r="U586">
        <f t="shared" si="344"/>
        <v>2.4323280436410155E-05</v>
      </c>
      <c r="V586">
        <f>+'Material Properties'!AE$31+'Material Properties'!AE$33</f>
        <v>0.00029034311030761144</v>
      </c>
      <c r="W586">
        <f t="shared" si="360"/>
        <v>0.00031466639074402157</v>
      </c>
      <c r="X586" s="1">
        <f>+'Volcano Summary'!E$12*10^9/Q586/3600/24/365</f>
        <v>0</v>
      </c>
      <c r="Y586" s="3">
        <f t="shared" si="361"/>
        <v>4000</v>
      </c>
      <c r="Z586" s="1">
        <f>+Y586*'Volcano Summary'!B$19*'Volcano Summary'!B$20/1000</f>
        <v>162000000</v>
      </c>
      <c r="AA586" s="1">
        <f t="shared" si="345"/>
        <v>816314.1338194617</v>
      </c>
      <c r="AB586" s="3">
        <f t="shared" si="372"/>
        <v>226.7539260609616</v>
      </c>
      <c r="AC586" s="1">
        <f t="shared" si="362"/>
        <v>140483667.9217136</v>
      </c>
      <c r="AD586" s="36">
        <f t="shared" si="363"/>
        <v>39023.2410893649</v>
      </c>
      <c r="AE586" s="36">
        <f t="shared" si="370"/>
        <v>1625.9683787235374</v>
      </c>
      <c r="AG586" s="1">
        <f t="shared" si="346"/>
        <v>162000000000</v>
      </c>
      <c r="AH586" s="1">
        <f t="shared" si="364"/>
        <v>162000000</v>
      </c>
      <c r="AI586" s="1">
        <f t="shared" si="365"/>
        <v>162162000000</v>
      </c>
      <c r="AJ586" s="1">
        <f t="shared" si="366"/>
        <v>7711200000000</v>
      </c>
      <c r="AK586" s="1">
        <f t="shared" si="367"/>
        <v>7718911200000</v>
      </c>
      <c r="AL586" s="39">
        <f>+AJ586/('Volcano Summary'!C$8)*10^6</f>
        <v>535333.6970294339</v>
      </c>
      <c r="AM586" s="1">
        <f t="shared" si="347"/>
        <v>1625.9683787235374</v>
      </c>
    </row>
    <row r="587" spans="1:39" ht="12.75">
      <c r="A587" s="1">
        <f t="shared" si="358"/>
        <v>816314.1338194617</v>
      </c>
      <c r="B587" s="1">
        <f t="shared" si="359"/>
        <v>1635.2090594319961</v>
      </c>
      <c r="C587" s="1">
        <f t="shared" si="373"/>
        <v>204000</v>
      </c>
      <c r="D587" s="1">
        <f t="shared" si="348"/>
        <v>509.6477873256914</v>
      </c>
      <c r="E587" s="38">
        <f t="shared" si="340"/>
        <v>5380747722.959529</v>
      </c>
      <c r="F587" s="38">
        <f t="shared" si="341"/>
        <v>3459541166.6098895</v>
      </c>
      <c r="G587" s="38">
        <f t="shared" si="342"/>
        <v>1538334610.2602503</v>
      </c>
      <c r="H587" s="19">
        <f t="shared" si="349"/>
        <v>0.0009810696964342436</v>
      </c>
      <c r="I587" s="50">
        <f t="shared" si="374"/>
        <v>0.019942246134799016</v>
      </c>
      <c r="J587" s="3">
        <f t="shared" si="350"/>
        <v>3.4564733361684237</v>
      </c>
      <c r="K587" s="12">
        <f t="shared" si="368"/>
        <v>0.6643671934722528</v>
      </c>
      <c r="L587" s="3">
        <f t="shared" si="351"/>
        <v>1049.752878576407</v>
      </c>
      <c r="M587" s="12">
        <f t="shared" si="369"/>
        <v>0.6684988867318737</v>
      </c>
      <c r="N587" s="37">
        <f t="shared" si="352"/>
        <v>288572.10337695625</v>
      </c>
      <c r="O587" s="1">
        <f t="shared" si="343"/>
        <v>494408.4962034242</v>
      </c>
      <c r="P587">
        <f t="shared" si="353"/>
        <v>703.1418748754935</v>
      </c>
      <c r="Q587" s="1">
        <f t="shared" si="354"/>
        <v>202907.12980523775</v>
      </c>
      <c r="R587" s="1">
        <f>+Q587*1000/'Material Properties'!AE$35</f>
        <v>174010397.55767167</v>
      </c>
      <c r="S587" s="1">
        <f t="shared" si="355"/>
        <v>852.9921448905474</v>
      </c>
      <c r="T587" s="1">
        <f t="shared" si="356"/>
        <v>352.33150479718097</v>
      </c>
      <c r="U587">
        <f t="shared" si="344"/>
        <v>2.428407399539651E-05</v>
      </c>
      <c r="V587">
        <f>+'Material Properties'!AE$31+'Material Properties'!AE$33</f>
        <v>0.00029034311030761144</v>
      </c>
      <c r="W587">
        <f t="shared" si="360"/>
        <v>0.00031462718430300796</v>
      </c>
      <c r="X587" s="1">
        <f>+'Volcano Summary'!E$12*10^9/Q587/3600/24/365</f>
        <v>0</v>
      </c>
      <c r="Y587" s="3">
        <f t="shared" si="361"/>
        <v>4000</v>
      </c>
      <c r="Z587" s="1">
        <f>+Y587*'Volcano Summary'!B$19*'Volcano Summary'!B$20/1000</f>
        <v>162000000</v>
      </c>
      <c r="AA587" s="1">
        <f t="shared" si="345"/>
        <v>798394.8132108377</v>
      </c>
      <c r="AB587" s="3">
        <f t="shared" si="372"/>
        <v>221.77633700301047</v>
      </c>
      <c r="AC587" s="1">
        <f t="shared" si="362"/>
        <v>141282062.73492444</v>
      </c>
      <c r="AD587" s="36">
        <f t="shared" si="363"/>
        <v>39245.01742636791</v>
      </c>
      <c r="AE587" s="36">
        <f t="shared" si="370"/>
        <v>1635.2090594319961</v>
      </c>
      <c r="AG587" s="1">
        <f t="shared" si="346"/>
        <v>162000000000</v>
      </c>
      <c r="AH587" s="1">
        <f t="shared" si="364"/>
        <v>162000000</v>
      </c>
      <c r="AI587" s="1">
        <f t="shared" si="365"/>
        <v>162162000000</v>
      </c>
      <c r="AJ587" s="1">
        <f t="shared" si="366"/>
        <v>7873200000000</v>
      </c>
      <c r="AK587" s="1">
        <f t="shared" si="367"/>
        <v>7881073200000</v>
      </c>
      <c r="AL587" s="39">
        <f>+AJ587/('Volcano Summary'!C$8)*10^6</f>
        <v>546580.203269548</v>
      </c>
      <c r="AM587" s="1">
        <f t="shared" si="347"/>
        <v>1635.2090594319961</v>
      </c>
    </row>
    <row r="588" spans="1:39" ht="12.75">
      <c r="A588" s="1">
        <f t="shared" si="358"/>
        <v>798394.8132108377</v>
      </c>
      <c r="B588" s="1">
        <f t="shared" si="359"/>
        <v>1644.2508622674725</v>
      </c>
      <c r="C588" s="1">
        <f t="shared" si="373"/>
        <v>208000</v>
      </c>
      <c r="D588" s="1">
        <f t="shared" si="348"/>
        <v>514.620078606455</v>
      </c>
      <c r="E588" s="38">
        <f t="shared" si="340"/>
        <v>5433244065.830458</v>
      </c>
      <c r="F588" s="38">
        <f t="shared" si="341"/>
        <v>3493293587.018582</v>
      </c>
      <c r="G588" s="38">
        <f t="shared" si="342"/>
        <v>1553343108.206707</v>
      </c>
      <c r="H588" s="19">
        <f t="shared" si="349"/>
        <v>0.0009715905398676926</v>
      </c>
      <c r="I588" s="50">
        <f t="shared" si="374"/>
        <v>0.019914333210455368</v>
      </c>
      <c r="J588" s="3">
        <f t="shared" si="350"/>
        <v>3.434857775505145</v>
      </c>
      <c r="K588" s="12">
        <f t="shared" si="368"/>
        <v>0.6633080309997521</v>
      </c>
      <c r="L588" s="3">
        <f t="shared" si="351"/>
        <v>1048.0793178327215</v>
      </c>
      <c r="M588" s="12">
        <f t="shared" si="369"/>
        <v>0.6680017288366183</v>
      </c>
      <c r="N588" s="37">
        <f t="shared" si="352"/>
        <v>294230.3799137593</v>
      </c>
      <c r="O588" s="1">
        <f t="shared" si="343"/>
        <v>496726.6417014218</v>
      </c>
      <c r="P588">
        <f t="shared" si="353"/>
        <v>704.7883666047716</v>
      </c>
      <c r="Q588" s="1">
        <f t="shared" si="354"/>
        <v>207370.1488649198</v>
      </c>
      <c r="R588" s="1">
        <f>+Q588*1000/'Material Properties'!AE$35</f>
        <v>177837822.06280452</v>
      </c>
      <c r="S588" s="1">
        <f t="shared" si="355"/>
        <v>854.9895291480987</v>
      </c>
      <c r="T588" s="1">
        <f t="shared" si="356"/>
        <v>352.87988918953556</v>
      </c>
      <c r="U588">
        <f t="shared" si="344"/>
        <v>2.4246431925938105E-05</v>
      </c>
      <c r="V588">
        <f>+'Material Properties'!AE$31+'Material Properties'!AE$33</f>
        <v>0.00029034311030761144</v>
      </c>
      <c r="W588">
        <f t="shared" si="360"/>
        <v>0.00031458954223354956</v>
      </c>
      <c r="X588" s="1">
        <f>+'Volcano Summary'!E$12*10^9/Q588/3600/24/365</f>
        <v>0</v>
      </c>
      <c r="Y588" s="3">
        <f t="shared" si="361"/>
        <v>4000</v>
      </c>
      <c r="Z588" s="1">
        <f>+Y588*'Volcano Summary'!B$19*'Volcano Summary'!B$20/1000</f>
        <v>162000000</v>
      </c>
      <c r="AA588" s="1">
        <f t="shared" si="345"/>
        <v>781211.7649851629</v>
      </c>
      <c r="AB588" s="3">
        <f t="shared" si="372"/>
        <v>217.00326805143413</v>
      </c>
      <c r="AC588" s="1">
        <f t="shared" si="362"/>
        <v>142063274.4999096</v>
      </c>
      <c r="AD588" s="36">
        <f t="shared" si="363"/>
        <v>39462.02069441934</v>
      </c>
      <c r="AE588" s="36">
        <f t="shared" si="370"/>
        <v>1644.2508622674725</v>
      </c>
      <c r="AG588" s="1">
        <f t="shared" si="346"/>
        <v>161999999999.99997</v>
      </c>
      <c r="AH588" s="1">
        <f t="shared" si="364"/>
        <v>162000000</v>
      </c>
      <c r="AI588" s="1">
        <f t="shared" si="365"/>
        <v>162161999999.99997</v>
      </c>
      <c r="AJ588" s="1">
        <f t="shared" si="366"/>
        <v>8035200000000</v>
      </c>
      <c r="AK588" s="1">
        <f t="shared" si="367"/>
        <v>8043235200000</v>
      </c>
      <c r="AL588" s="39">
        <f>+AJ588/('Volcano Summary'!C$8)*10^6</f>
        <v>557826.7095096621</v>
      </c>
      <c r="AM588" s="1">
        <f t="shared" si="347"/>
        <v>1644.2508622674725</v>
      </c>
    </row>
    <row r="589" spans="1:39" ht="12.75">
      <c r="A589" s="1">
        <f t="shared" si="358"/>
        <v>781211.7649851629</v>
      </c>
      <c r="B589" s="1">
        <f t="shared" si="359"/>
        <v>1653.1018039691053</v>
      </c>
      <c r="C589" s="1">
        <f t="shared" si="373"/>
        <v>212000</v>
      </c>
      <c r="D589" s="1">
        <f t="shared" si="348"/>
        <v>519.5447848683061</v>
      </c>
      <c r="E589" s="38">
        <f t="shared" si="340"/>
        <v>5485238016.679824</v>
      </c>
      <c r="F589" s="38">
        <f t="shared" si="341"/>
        <v>3526722995.465023</v>
      </c>
      <c r="G589" s="38">
        <f t="shared" si="342"/>
        <v>1568207974.2502236</v>
      </c>
      <c r="H589" s="19">
        <f t="shared" si="349"/>
        <v>0.0009623809430148349</v>
      </c>
      <c r="I589" s="50">
        <f t="shared" si="374"/>
        <v>0.01988702780950708</v>
      </c>
      <c r="J589" s="3">
        <f t="shared" si="350"/>
        <v>3.4138896577075672</v>
      </c>
      <c r="K589" s="12">
        <f t="shared" si="368"/>
        <v>0.6622805932276709</v>
      </c>
      <c r="L589" s="3">
        <f t="shared" si="351"/>
        <v>1046.4558846328318</v>
      </c>
      <c r="M589" s="12">
        <f t="shared" si="369"/>
        <v>0.6675194621272741</v>
      </c>
      <c r="N589" s="37">
        <f t="shared" si="352"/>
        <v>299888.65645056235</v>
      </c>
      <c r="O589" s="1">
        <f t="shared" si="343"/>
        <v>499003.402290063</v>
      </c>
      <c r="P589">
        <f t="shared" si="353"/>
        <v>706.4017286856417</v>
      </c>
      <c r="Q589" s="1">
        <f t="shared" si="354"/>
        <v>211841.86532989176</v>
      </c>
      <c r="R589" s="1">
        <f>+Q589*1000/'Material Properties'!AE$35</f>
        <v>181672705.3445396</v>
      </c>
      <c r="S589" s="1">
        <f t="shared" si="355"/>
        <v>856.9467233233</v>
      </c>
      <c r="T589" s="1">
        <f t="shared" si="356"/>
        <v>353.40846057161286</v>
      </c>
      <c r="U589">
        <f t="shared" si="344"/>
        <v>2.421026013931788E-05</v>
      </c>
      <c r="V589">
        <f>+'Material Properties'!AE$31+'Material Properties'!AE$33</f>
        <v>0.00029034311030761144</v>
      </c>
      <c r="W589">
        <f t="shared" si="360"/>
        <v>0.00031455337044692934</v>
      </c>
      <c r="X589" s="1">
        <f>+'Volcano Summary'!E$12*10^9/Q589/3600/24/365</f>
        <v>0</v>
      </c>
      <c r="Y589" s="3">
        <f t="shared" si="361"/>
        <v>4000</v>
      </c>
      <c r="Z589" s="1">
        <f>+Y589*'Volcano Summary'!B$19*'Volcano Summary'!B$20/1000</f>
        <v>162000000</v>
      </c>
      <c r="AA589" s="1">
        <f t="shared" si="345"/>
        <v>764721.3630210663</v>
      </c>
      <c r="AB589" s="3">
        <f t="shared" si="372"/>
        <v>212.4226008391851</v>
      </c>
      <c r="AC589" s="1">
        <f t="shared" si="362"/>
        <v>142827995.8629307</v>
      </c>
      <c r="AD589" s="36">
        <f t="shared" si="363"/>
        <v>39674.44329525853</v>
      </c>
      <c r="AE589" s="36">
        <f t="shared" si="370"/>
        <v>1653.1018039691053</v>
      </c>
      <c r="AG589" s="1">
        <f t="shared" si="346"/>
        <v>162000000000</v>
      </c>
      <c r="AH589" s="1">
        <f t="shared" si="364"/>
        <v>162000000</v>
      </c>
      <c r="AI589" s="1">
        <f t="shared" si="365"/>
        <v>162162000000</v>
      </c>
      <c r="AJ589" s="1">
        <f t="shared" si="366"/>
        <v>8197200000000</v>
      </c>
      <c r="AK589" s="1">
        <f t="shared" si="367"/>
        <v>8205397200000</v>
      </c>
      <c r="AL589" s="39">
        <f>+AJ589/('Volcano Summary'!C$8)*10^6</f>
        <v>569073.2157497763</v>
      </c>
      <c r="AM589" s="1">
        <f t="shared" si="347"/>
        <v>1653.1018039691053</v>
      </c>
    </row>
    <row r="590" spans="1:39" ht="12.75">
      <c r="A590" s="1">
        <f t="shared" si="358"/>
        <v>764721.3630210663</v>
      </c>
      <c r="B590" s="1">
        <f t="shared" si="359"/>
        <v>1661.7694350567342</v>
      </c>
      <c r="C590" s="1">
        <f t="shared" si="373"/>
        <v>216000</v>
      </c>
      <c r="D590" s="1">
        <f t="shared" si="348"/>
        <v>524.4232466841979</v>
      </c>
      <c r="E590" s="38">
        <f t="shared" si="340"/>
        <v>5536743728.978011</v>
      </c>
      <c r="F590" s="38">
        <f t="shared" si="341"/>
        <v>3559838491.895162</v>
      </c>
      <c r="G590" s="38">
        <f t="shared" si="342"/>
        <v>1582933254.812314</v>
      </c>
      <c r="H590" s="19">
        <f t="shared" si="349"/>
        <v>0.0009534283675664261</v>
      </c>
      <c r="I590" s="50">
        <f t="shared" si="374"/>
        <v>0.019860305514843704</v>
      </c>
      <c r="J590" s="3">
        <f t="shared" si="350"/>
        <v>3.393537866638792</v>
      </c>
      <c r="K590" s="12">
        <f t="shared" si="368"/>
        <v>0.6612833554653008</v>
      </c>
      <c r="L590" s="3">
        <f t="shared" si="351"/>
        <v>1044.8801698444454</v>
      </c>
      <c r="M590" s="12">
        <f t="shared" si="369"/>
        <v>0.6670513709326923</v>
      </c>
      <c r="N590" s="37">
        <f t="shared" si="352"/>
        <v>305546.93298736535</v>
      </c>
      <c r="O590" s="1">
        <f t="shared" si="343"/>
        <v>501240.1479969743</v>
      </c>
      <c r="P590">
        <f t="shared" si="353"/>
        <v>707.9831551647075</v>
      </c>
      <c r="Q590" s="1">
        <f t="shared" si="354"/>
        <v>216322.08166729435</v>
      </c>
      <c r="R590" s="1">
        <f>+Q590*1000/'Material Properties'!AE$35</f>
        <v>185514878.00138074</v>
      </c>
      <c r="S590" s="1">
        <f t="shared" si="355"/>
        <v>858.8651759323183</v>
      </c>
      <c r="T590" s="1">
        <f t="shared" si="356"/>
        <v>353.91830507055715</v>
      </c>
      <c r="U590">
        <f t="shared" si="344"/>
        <v>2.4175472001914467E-05</v>
      </c>
      <c r="V590">
        <f>+'Material Properties'!AE$31+'Material Properties'!AE$33</f>
        <v>0.00029034311030761144</v>
      </c>
      <c r="W590">
        <f t="shared" si="360"/>
        <v>0.0003145185823095259</v>
      </c>
      <c r="X590" s="1">
        <f>+'Volcano Summary'!E$12*10^9/Q590/3600/24/365</f>
        <v>0</v>
      </c>
      <c r="Y590" s="3">
        <f t="shared" si="361"/>
        <v>4000</v>
      </c>
      <c r="Z590" s="1">
        <f>+Y590*'Volcano Summary'!B$19*'Volcano Summary'!B$20/1000</f>
        <v>162000000</v>
      </c>
      <c r="AA590" s="1">
        <f t="shared" si="345"/>
        <v>748883.3259711217</v>
      </c>
      <c r="AB590" s="3">
        <f t="shared" si="372"/>
        <v>208.02314610308935</v>
      </c>
      <c r="AC590" s="1">
        <f t="shared" si="362"/>
        <v>143576879.1889018</v>
      </c>
      <c r="AD590" s="36">
        <f t="shared" si="363"/>
        <v>39882.46644136162</v>
      </c>
      <c r="AE590" s="36">
        <f t="shared" si="370"/>
        <v>1661.7694350567342</v>
      </c>
      <c r="AG590" s="1">
        <f t="shared" si="346"/>
        <v>162000000000</v>
      </c>
      <c r="AH590" s="1">
        <f t="shared" si="364"/>
        <v>162000000</v>
      </c>
      <c r="AI590" s="1">
        <f t="shared" si="365"/>
        <v>162162000000</v>
      </c>
      <c r="AJ590" s="1">
        <f t="shared" si="366"/>
        <v>8359200000000</v>
      </c>
      <c r="AK590" s="1">
        <f t="shared" si="367"/>
        <v>8367559200000</v>
      </c>
      <c r="AL590" s="39">
        <f>+AJ590/('Volcano Summary'!C$8)*10^6</f>
        <v>580319.7219898906</v>
      </c>
      <c r="AM590" s="1">
        <f t="shared" si="347"/>
        <v>1661.7694350567342</v>
      </c>
    </row>
    <row r="591" spans="1:39" ht="12.75">
      <c r="A591" s="1">
        <f t="shared" si="358"/>
        <v>748883.3259711217</v>
      </c>
      <c r="B591" s="1">
        <f t="shared" si="359"/>
        <v>1670.26087492691</v>
      </c>
      <c r="C591" s="1">
        <f t="shared" si="373"/>
        <v>220000</v>
      </c>
      <c r="D591" s="1">
        <f t="shared" si="348"/>
        <v>529.2567428401228</v>
      </c>
      <c r="E591" s="38">
        <f aca="true" t="shared" si="375" ref="E591:E620">+$D591*1000*A$7*$F$11/$F$10</f>
        <v>5587774703.862448</v>
      </c>
      <c r="F591" s="38">
        <f aca="true" t="shared" si="376" ref="F591:F620">+$D591*1000*C$7*$F$11/$F$10</f>
        <v>3592648756.838757</v>
      </c>
      <c r="G591" s="38">
        <f aca="true" t="shared" si="377" ref="G591:G620">+$D591*1000*D$7*$F$11/$F$10</f>
        <v>1597522809.815066</v>
      </c>
      <c r="H591" s="19">
        <f t="shared" si="349"/>
        <v>0.0009447210768007907</v>
      </c>
      <c r="I591" s="50">
        <f t="shared" si="374"/>
        <v>0.019834143322476405</v>
      </c>
      <c r="J591" s="3">
        <f t="shared" si="350"/>
        <v>3.3737733237031122</v>
      </c>
      <c r="K591" s="12">
        <f t="shared" si="368"/>
        <v>0.6603148928614525</v>
      </c>
      <c r="L591" s="3">
        <f t="shared" si="351"/>
        <v>1043.3499220896308</v>
      </c>
      <c r="M591" s="12">
        <f t="shared" si="369"/>
        <v>0.6665967864451716</v>
      </c>
      <c r="N591" s="37">
        <f t="shared" si="352"/>
        <v>311205.2095241685</v>
      </c>
      <c r="O591" s="1">
        <f aca="true" t="shared" si="378" ref="O591:O620">+L591/J591/P$9</f>
        <v>503438.18162476236</v>
      </c>
      <c r="P591">
        <f t="shared" si="353"/>
        <v>709.5337776489308</v>
      </c>
      <c r="Q591" s="1">
        <f t="shared" si="354"/>
        <v>220810.6079377103</v>
      </c>
      <c r="R591" s="1">
        <f>+Q591*1000/'Material Properties'!AE$35</f>
        <v>189364177.14386445</v>
      </c>
      <c r="S591" s="1">
        <f t="shared" si="355"/>
        <v>860.7462597448384</v>
      </c>
      <c r="T591" s="1">
        <f t="shared" si="356"/>
        <v>354.41043006801146</v>
      </c>
      <c r="U591">
        <f aca="true" t="shared" si="379" ref="U591:U620">+I$3*0.1*0.9/(T591+0.9)</f>
        <v>2.414198760885817E-05</v>
      </c>
      <c r="V591">
        <f>+'Material Properties'!AE$31+'Material Properties'!AE$33</f>
        <v>0.00029034311030761144</v>
      </c>
      <c r="W591">
        <f t="shared" si="360"/>
        <v>0.0003144850979164696</v>
      </c>
      <c r="X591" s="1">
        <f>+'Volcano Summary'!E$12*10^9/Q591/3600/24/365</f>
        <v>0</v>
      </c>
      <c r="Y591" s="3">
        <f t="shared" si="361"/>
        <v>4000</v>
      </c>
      <c r="Z591" s="1">
        <f>+Y591*'Volcano Summary'!B$19*'Volcano Summary'!B$20/1000</f>
        <v>162000000</v>
      </c>
      <c r="AA591" s="1">
        <f aca="true" t="shared" si="380" ref="AA591:AA620">Z591/(AA$12/100*Q591)</f>
        <v>733660.4047831773</v>
      </c>
      <c r="AB591" s="3">
        <f t="shared" si="372"/>
        <v>203.79455688421592</v>
      </c>
      <c r="AC591" s="1">
        <f t="shared" si="362"/>
        <v>144310539.593685</v>
      </c>
      <c r="AD591" s="36">
        <f t="shared" si="363"/>
        <v>40086.26099824584</v>
      </c>
      <c r="AE591" s="36">
        <f t="shared" si="370"/>
        <v>1670.26087492691</v>
      </c>
      <c r="AG591" s="1">
        <f aca="true" t="shared" si="381" ref="AG591:AG620">+AA591*Q591</f>
        <v>162000000000</v>
      </c>
      <c r="AH591" s="1">
        <f t="shared" si="364"/>
        <v>162000000</v>
      </c>
      <c r="AI591" s="1">
        <f t="shared" si="365"/>
        <v>162162000000</v>
      </c>
      <c r="AJ591" s="1">
        <f t="shared" si="366"/>
        <v>8521200000000</v>
      </c>
      <c r="AK591" s="1">
        <f t="shared" si="367"/>
        <v>8529721200000</v>
      </c>
      <c r="AL591" s="39">
        <f>+AJ591/('Volcano Summary'!C$8)*10^6</f>
        <v>591566.2282300047</v>
      </c>
      <c r="AM591" s="1">
        <f aca="true" t="shared" si="382" ref="AM591:AM620">+B591</f>
        <v>1670.26087492691</v>
      </c>
    </row>
    <row r="592" spans="1:39" ht="12.75">
      <c r="A592" s="1">
        <f t="shared" si="358"/>
        <v>733660.4047831773</v>
      </c>
      <c r="B592" s="1">
        <f t="shared" si="359"/>
        <v>1678.5828437285163</v>
      </c>
      <c r="C592" s="1">
        <f t="shared" si="373"/>
        <v>224000</v>
      </c>
      <c r="D592" s="1">
        <f aca="true" t="shared" si="383" ref="D592:D638">2*SQRT(C592/PI())</f>
        <v>534.0464942499636</v>
      </c>
      <c r="E592" s="38">
        <f t="shared" si="375"/>
        <v>5638343831.469734</v>
      </c>
      <c r="F592" s="38">
        <f t="shared" si="376"/>
        <v>3625162077.9837832</v>
      </c>
      <c r="G592" s="38">
        <f t="shared" si="377"/>
        <v>1611980324.4978335</v>
      </c>
      <c r="H592" s="19">
        <f aca="true" t="shared" si="384" ref="H592:H620">+(H$13/1000)/D592</f>
        <v>0.0009362480708767129</v>
      </c>
      <c r="I592" s="50">
        <f t="shared" si="374"/>
        <v>0.019808519535703093</v>
      </c>
      <c r="J592" s="3">
        <f aca="true" t="shared" si="385" ref="J592:J620">+J$13*I592/D592+1.5</f>
        <v>3.3545688202225703</v>
      </c>
      <c r="K592" s="12">
        <f t="shared" si="368"/>
        <v>0.6593738721909059</v>
      </c>
      <c r="L592" s="3">
        <f aca="true" t="shared" si="386" ref="L592:L638">+L$10*K592</f>
        <v>1041.8630347667583</v>
      </c>
      <c r="M592" s="12">
        <f t="shared" si="369"/>
        <v>0.6661550828651192</v>
      </c>
      <c r="N592" s="37">
        <f aca="true" t="shared" si="387" ref="N592:N620">1.111*10^-6*(D592*1000)^2</f>
        <v>316863.48606097157</v>
      </c>
      <c r="O592" s="1">
        <f t="shared" si="378"/>
        <v>505598.74312876124</v>
      </c>
      <c r="P592">
        <f aca="true" t="shared" si="388" ref="P592:P638">+SQRT(O592)</f>
        <v>711.054669578058</v>
      </c>
      <c r="Q592" s="1">
        <f aca="true" t="shared" si="389" ref="Q592:Q620">+P592*N592/1000</f>
        <v>225307.26138243574</v>
      </c>
      <c r="R592" s="1">
        <f>+Q592*1000/'Material Properties'!AE$35</f>
        <v>193220446.04060948</v>
      </c>
      <c r="S592" s="1">
        <f aca="true" t="shared" si="390" ref="S592:S620">+R592/C592</f>
        <v>862.5912769670066</v>
      </c>
      <c r="T592" s="1">
        <f aca="true" t="shared" si="391" ref="T592:T620">+L592-L592*K592</f>
        <v>354.88577124003245</v>
      </c>
      <c r="U592">
        <f t="shared" si="379"/>
        <v>2.410973314110665E-05</v>
      </c>
      <c r="V592">
        <f>+'Material Properties'!AE$31+'Material Properties'!AE$33</f>
        <v>0.00029034311030761144</v>
      </c>
      <c r="W592">
        <f t="shared" si="360"/>
        <v>0.0003144528434487181</v>
      </c>
      <c r="X592" s="1">
        <f>+'Volcano Summary'!E$12*10^9/Q592/3600/24/365</f>
        <v>0</v>
      </c>
      <c r="Y592" s="3">
        <f t="shared" si="361"/>
        <v>4000</v>
      </c>
      <c r="Z592" s="1">
        <f>+Y592*'Volcano Summary'!B$19*'Volcano Summary'!B$20/1000</f>
        <v>162000000</v>
      </c>
      <c r="AA592" s="1">
        <f t="shared" si="380"/>
        <v>719018.1044587896</v>
      </c>
      <c r="AB592" s="3">
        <f t="shared" si="372"/>
        <v>199.72725123855267</v>
      </c>
      <c r="AC592" s="1">
        <f t="shared" si="362"/>
        <v>145029557.69814378</v>
      </c>
      <c r="AD592" s="36">
        <f t="shared" si="363"/>
        <v>40285.98824948439</v>
      </c>
      <c r="AE592" s="36">
        <f t="shared" si="370"/>
        <v>1678.5828437285163</v>
      </c>
      <c r="AG592" s="1">
        <f t="shared" si="381"/>
        <v>162000000000</v>
      </c>
      <c r="AH592" s="1">
        <f t="shared" si="364"/>
        <v>162000000</v>
      </c>
      <c r="AI592" s="1">
        <f t="shared" si="365"/>
        <v>162162000000</v>
      </c>
      <c r="AJ592" s="1">
        <f t="shared" si="366"/>
        <v>8683200000000</v>
      </c>
      <c r="AK592" s="1">
        <f t="shared" si="367"/>
        <v>8691883200000</v>
      </c>
      <c r="AL592" s="39">
        <f>+AJ592/('Volcano Summary'!C$8)*10^6</f>
        <v>602812.7344701189</v>
      </c>
      <c r="AM592" s="1">
        <f t="shared" si="382"/>
        <v>1678.5828437285163</v>
      </c>
    </row>
    <row r="593" spans="1:39" ht="12.75">
      <c r="A593" s="1">
        <f t="shared" si="358"/>
        <v>719018.1044587896</v>
      </c>
      <c r="B593" s="1">
        <f t="shared" si="359"/>
        <v>1686.7416913646782</v>
      </c>
      <c r="C593" s="1">
        <f t="shared" si="373"/>
        <v>228000</v>
      </c>
      <c r="D593" s="1">
        <f t="shared" si="383"/>
        <v>538.7936675570872</v>
      </c>
      <c r="E593" s="38">
        <f t="shared" si="375"/>
        <v>5688463428.960454</v>
      </c>
      <c r="F593" s="38">
        <f t="shared" si="376"/>
        <v>3657386374.624417</v>
      </c>
      <c r="G593" s="38">
        <f t="shared" si="377"/>
        <v>1626309320.2883813</v>
      </c>
      <c r="H593" s="19">
        <f t="shared" si="384"/>
        <v>0.000927999028398052</v>
      </c>
      <c r="I593" s="50">
        <f t="shared" si="374"/>
        <v>0.019783413668936125</v>
      </c>
      <c r="J593" s="3">
        <f t="shared" si="385"/>
        <v>3.3358988663169464</v>
      </c>
      <c r="K593" s="12">
        <f t="shared" si="368"/>
        <v>0.6584590444495304</v>
      </c>
      <c r="L593" s="3">
        <f t="shared" si="386"/>
        <v>1040.417534350202</v>
      </c>
      <c r="M593" s="12">
        <f t="shared" si="369"/>
        <v>0.6657256739252898</v>
      </c>
      <c r="N593" s="37">
        <f t="shared" si="387"/>
        <v>322521.76259777456</v>
      </c>
      <c r="O593" s="1">
        <f t="shared" si="378"/>
        <v>507723.0136402737</v>
      </c>
      <c r="P593">
        <f t="shared" si="388"/>
        <v>712.5468501370796</v>
      </c>
      <c r="Q593" s="1">
        <f t="shared" si="389"/>
        <v>229811.86603970322</v>
      </c>
      <c r="R593" s="1">
        <f>+Q593*1000/'Material Properties'!AE$35</f>
        <v>197083533.78919494</v>
      </c>
      <c r="S593" s="1">
        <f t="shared" si="390"/>
        <v>864.4014639876971</v>
      </c>
      <c r="T593" s="1">
        <f t="shared" si="391"/>
        <v>355.3451988534315</v>
      </c>
      <c r="U593">
        <f t="shared" si="379"/>
        <v>2.4078640294964844E-05</v>
      </c>
      <c r="V593">
        <f>+'Material Properties'!AE$31+'Material Properties'!AE$33</f>
        <v>0.00029034311030761144</v>
      </c>
      <c r="W593">
        <f t="shared" si="360"/>
        <v>0.0003144217506025763</v>
      </c>
      <c r="X593" s="1">
        <f>+'Volcano Summary'!E$12*10^9/Q593/3600/24/365</f>
        <v>0</v>
      </c>
      <c r="Y593" s="3">
        <f t="shared" si="361"/>
        <v>4000</v>
      </c>
      <c r="Z593" s="1">
        <f>+Y593*'Volcano Summary'!B$19*'Volcano Summary'!B$20/1000</f>
        <v>162000000</v>
      </c>
      <c r="AA593" s="1">
        <f t="shared" si="380"/>
        <v>704924.4357643927</v>
      </c>
      <c r="AB593" s="3">
        <f t="shared" si="372"/>
        <v>195.81234326788686</v>
      </c>
      <c r="AC593" s="1">
        <f t="shared" si="362"/>
        <v>145734482.13390818</v>
      </c>
      <c r="AD593" s="36">
        <f t="shared" si="363"/>
        <v>40481.800592752275</v>
      </c>
      <c r="AE593" s="36">
        <f t="shared" si="370"/>
        <v>1686.7416913646782</v>
      </c>
      <c r="AG593" s="1">
        <f t="shared" si="381"/>
        <v>162000000000</v>
      </c>
      <c r="AH593" s="1">
        <f t="shared" si="364"/>
        <v>162000000</v>
      </c>
      <c r="AI593" s="1">
        <f t="shared" si="365"/>
        <v>162162000000</v>
      </c>
      <c r="AJ593" s="1">
        <f t="shared" si="366"/>
        <v>8845200000000</v>
      </c>
      <c r="AK593" s="1">
        <f t="shared" si="367"/>
        <v>8854045200000</v>
      </c>
      <c r="AL593" s="39">
        <f>+AJ593/('Volcano Summary'!C$8)*10^6</f>
        <v>614059.240710233</v>
      </c>
      <c r="AM593" s="1">
        <f t="shared" si="382"/>
        <v>1686.7416913646782</v>
      </c>
    </row>
    <row r="594" spans="1:39" ht="12.75">
      <c r="A594" s="1">
        <f t="shared" si="358"/>
        <v>704924.4357643927</v>
      </c>
      <c r="B594" s="1">
        <f t="shared" si="359"/>
        <v>1694.743423924995</v>
      </c>
      <c r="C594" s="1">
        <f t="shared" si="373"/>
        <v>232000</v>
      </c>
      <c r="D594" s="1">
        <f t="shared" si="383"/>
        <v>543.4993784527796</v>
      </c>
      <c r="E594" s="38">
        <f t="shared" si="375"/>
        <v>5738145275.554484</v>
      </c>
      <c r="F594" s="38">
        <f t="shared" si="376"/>
        <v>3689329220.1869125</v>
      </c>
      <c r="G594" s="38">
        <f t="shared" si="377"/>
        <v>1640513164.819342</v>
      </c>
      <c r="H594" s="19">
        <f t="shared" si="384"/>
        <v>0.0009199642535441115</v>
      </c>
      <c r="I594" s="50">
        <f t="shared" si="374"/>
        <v>0.019758806360157515</v>
      </c>
      <c r="J594" s="3">
        <f t="shared" si="385"/>
        <v>3.317739554404495</v>
      </c>
      <c r="K594" s="12">
        <f t="shared" si="368"/>
        <v>0.6575692381658202</v>
      </c>
      <c r="L594" s="3">
        <f t="shared" si="386"/>
        <v>1039.0115698220347</v>
      </c>
      <c r="M594" s="12">
        <f t="shared" si="369"/>
        <v>0.6653080097513034</v>
      </c>
      <c r="N594" s="37">
        <f t="shared" si="387"/>
        <v>328180.0391345777</v>
      </c>
      <c r="O594" s="1">
        <f t="shared" si="378"/>
        <v>509812.1191695172</v>
      </c>
      <c r="P594">
        <f t="shared" si="388"/>
        <v>714.0112878446091</v>
      </c>
      <c r="Q594" s="1">
        <f t="shared" si="389"/>
        <v>234324.252387374</v>
      </c>
      <c r="R594" s="1">
        <f>+Q594*1000/'Material Properties'!AE$35</f>
        <v>200953295.009738</v>
      </c>
      <c r="S594" s="1">
        <f t="shared" si="390"/>
        <v>866.1779957316293</v>
      </c>
      <c r="T594" s="1">
        <f t="shared" si="391"/>
        <v>355.78952340868636</v>
      </c>
      <c r="U594">
        <f t="shared" si="379"/>
        <v>2.4048645774694218E-05</v>
      </c>
      <c r="V594">
        <f>+'Material Properties'!AE$31+'Material Properties'!AE$33</f>
        <v>0.00029034311030761144</v>
      </c>
      <c r="W594">
        <f t="shared" si="360"/>
        <v>0.00031439175608230567</v>
      </c>
      <c r="X594" s="1">
        <f>+'Volcano Summary'!E$12*10^9/Q594/3600/24/365</f>
        <v>0</v>
      </c>
      <c r="Y594" s="3">
        <f t="shared" si="361"/>
        <v>4000</v>
      </c>
      <c r="Z594" s="1">
        <f>+Y594*'Volcano Summary'!B$19*'Volcano Summary'!B$20/1000</f>
        <v>162000000</v>
      </c>
      <c r="AA594" s="1">
        <f t="shared" si="380"/>
        <v>691349.6932113928</v>
      </c>
      <c r="AB594" s="3">
        <f t="shared" si="372"/>
        <v>192.04158144760913</v>
      </c>
      <c r="AC594" s="1">
        <f t="shared" si="362"/>
        <v>146425831.8271196</v>
      </c>
      <c r="AD594" s="36">
        <f t="shared" si="363"/>
        <v>40673.84217419988</v>
      </c>
      <c r="AE594" s="36">
        <f t="shared" si="370"/>
        <v>1694.743423924995</v>
      </c>
      <c r="AG594" s="1">
        <f t="shared" si="381"/>
        <v>162000000000</v>
      </c>
      <c r="AH594" s="1">
        <f t="shared" si="364"/>
        <v>162000000</v>
      </c>
      <c r="AI594" s="1">
        <f t="shared" si="365"/>
        <v>162162000000</v>
      </c>
      <c r="AJ594" s="1">
        <f t="shared" si="366"/>
        <v>9007200000000</v>
      </c>
      <c r="AK594" s="1">
        <f t="shared" si="367"/>
        <v>9016207200000</v>
      </c>
      <c r="AL594" s="39">
        <f>+AJ594/('Volcano Summary'!C$8)*10^6</f>
        <v>625305.7469503471</v>
      </c>
      <c r="AM594" s="1">
        <f t="shared" si="382"/>
        <v>1694.743423924995</v>
      </c>
    </row>
    <row r="595" spans="1:39" ht="12.75">
      <c r="A595" s="1">
        <f t="shared" si="358"/>
        <v>691349.6932113928</v>
      </c>
      <c r="B595" s="1">
        <f t="shared" si="359"/>
        <v>1702.5937278153772</v>
      </c>
      <c r="C595" s="1">
        <f t="shared" si="373"/>
        <v>236000</v>
      </c>
      <c r="D595" s="1">
        <f t="shared" si="383"/>
        <v>548.1646947382679</v>
      </c>
      <c r="E595" s="38">
        <f t="shared" si="375"/>
        <v>5787400644.859139</v>
      </c>
      <c r="F595" s="38">
        <f t="shared" si="376"/>
        <v>3720997863.0149217</v>
      </c>
      <c r="G595" s="38">
        <f t="shared" si="377"/>
        <v>1654595081.1707048</v>
      </c>
      <c r="H595" s="19">
        <f t="shared" si="384"/>
        <v>0.000912134628149912</v>
      </c>
      <c r="I595" s="50">
        <f t="shared" si="374"/>
        <v>0.01973467929109324</v>
      </c>
      <c r="J595" s="3">
        <f t="shared" si="385"/>
        <v>3.30006843568391</v>
      </c>
      <c r="K595" s="12">
        <f t="shared" si="368"/>
        <v>0.6567033533485116</v>
      </c>
      <c r="L595" s="3">
        <f t="shared" si="386"/>
        <v>1037.6434031087826</v>
      </c>
      <c r="M595" s="12">
        <f t="shared" si="369"/>
        <v>0.6649015740207299</v>
      </c>
      <c r="N595" s="37">
        <f t="shared" si="387"/>
        <v>333838.31567138084</v>
      </c>
      <c r="O595" s="1">
        <f t="shared" si="378"/>
        <v>511867.13401867216</v>
      </c>
      <c r="P595">
        <f t="shared" si="388"/>
        <v>715.4489038489556</v>
      </c>
      <c r="Q595" s="1">
        <f t="shared" si="389"/>
        <v>238844.25700987107</v>
      </c>
      <c r="R595" s="1">
        <f>+Q595*1000/'Material Properties'!AE$35</f>
        <v>204829589.55926016</v>
      </c>
      <c r="S595" s="1">
        <f t="shared" si="390"/>
        <v>867.921989657882</v>
      </c>
      <c r="T595" s="1">
        <f t="shared" si="391"/>
        <v>356.2195007072837</v>
      </c>
      <c r="U595">
        <f t="shared" si="379"/>
        <v>2.4019690840212488E-05</v>
      </c>
      <c r="V595">
        <f>+'Material Properties'!AE$31+'Material Properties'!AE$33</f>
        <v>0.00029034311030761144</v>
      </c>
      <c r="W595">
        <f t="shared" si="360"/>
        <v>0.0003143628011478239</v>
      </c>
      <c r="X595" s="1">
        <f>+'Volcano Summary'!E$12*10^9/Q595/3600/24/365</f>
        <v>0</v>
      </c>
      <c r="Y595" s="3">
        <f t="shared" si="361"/>
        <v>4000</v>
      </c>
      <c r="Z595" s="1">
        <f>+Y595*'Volcano Summary'!B$19*'Volcano Summary'!B$20/1000</f>
        <v>162000000</v>
      </c>
      <c r="AA595" s="1">
        <f t="shared" si="380"/>
        <v>678266.2561290087</v>
      </c>
      <c r="AB595" s="3">
        <f t="shared" si="372"/>
        <v>188.40729336916908</v>
      </c>
      <c r="AC595" s="1">
        <f t="shared" si="362"/>
        <v>147104098.0832486</v>
      </c>
      <c r="AD595" s="36">
        <f t="shared" si="363"/>
        <v>40862.249467569054</v>
      </c>
      <c r="AE595" s="36">
        <f t="shared" si="370"/>
        <v>1702.5937278153772</v>
      </c>
      <c r="AG595" s="1">
        <f t="shared" si="381"/>
        <v>162000000000</v>
      </c>
      <c r="AH595" s="1">
        <f t="shared" si="364"/>
        <v>162000000</v>
      </c>
      <c r="AI595" s="1">
        <f t="shared" si="365"/>
        <v>162162000000</v>
      </c>
      <c r="AJ595" s="1">
        <f t="shared" si="366"/>
        <v>9169200000000</v>
      </c>
      <c r="AK595" s="1">
        <f t="shared" si="367"/>
        <v>9178369200000</v>
      </c>
      <c r="AL595" s="39">
        <f>+AJ595/('Volcano Summary'!C$8)*10^6</f>
        <v>636552.2531904613</v>
      </c>
      <c r="AM595" s="1">
        <f t="shared" si="382"/>
        <v>1702.5937278153772</v>
      </c>
    </row>
    <row r="596" spans="1:39" ht="12.75">
      <c r="A596" s="1">
        <f aca="true" t="shared" si="392" ref="A596:A620">+AA595</f>
        <v>678266.2561290087</v>
      </c>
      <c r="B596" s="1">
        <f aca="true" t="shared" si="393" ref="B596:B620">+AE596</f>
        <v>1710.2850690635603</v>
      </c>
      <c r="C596" s="1">
        <f t="shared" si="373"/>
        <v>240000</v>
      </c>
      <c r="D596" s="1">
        <f t="shared" si="383"/>
        <v>552.7906391541368</v>
      </c>
      <c r="E596" s="38">
        <f t="shared" si="375"/>
        <v>5836240334.741511</v>
      </c>
      <c r="F596" s="38">
        <f t="shared" si="376"/>
        <v>3752399245.5758553</v>
      </c>
      <c r="G596" s="38">
        <f t="shared" si="377"/>
        <v>1668558156.4102004</v>
      </c>
      <c r="H596" s="19">
        <f t="shared" si="384"/>
        <v>0.0009045015681978345</v>
      </c>
      <c r="I596" s="50">
        <v>0.01955</v>
      </c>
      <c r="J596" s="3">
        <f t="shared" si="385"/>
        <v>3.2683005658267668</v>
      </c>
      <c r="K596" s="12">
        <f t="shared" si="368"/>
        <v>0.6551467277255116</v>
      </c>
      <c r="L596" s="3">
        <f t="shared" si="386"/>
        <v>1035.1838111170866</v>
      </c>
      <c r="M596" s="12">
        <f t="shared" si="369"/>
        <v>0.6641709130140157</v>
      </c>
      <c r="N596" s="37">
        <f t="shared" si="387"/>
        <v>339496.5922081838</v>
      </c>
      <c r="O596" s="1">
        <f t="shared" si="378"/>
        <v>515617.3762147304</v>
      </c>
      <c r="P596">
        <f t="shared" si="388"/>
        <v>718.0650222749541</v>
      </c>
      <c r="Q596" s="1">
        <f t="shared" si="389"/>
        <v>243780.6280462405</v>
      </c>
      <c r="R596" s="1">
        <f>+Q596*1000/'Material Properties'!AE$35</f>
        <v>209062954.2880172</v>
      </c>
      <c r="S596" s="1">
        <f t="shared" si="390"/>
        <v>871.0956428667384</v>
      </c>
      <c r="T596" s="1">
        <f t="shared" si="391"/>
        <v>356.9865246693032</v>
      </c>
      <c r="U596">
        <f t="shared" si="379"/>
        <v>2.3968211733946146E-05</v>
      </c>
      <c r="V596">
        <f>+'Material Properties'!AE$31+'Material Properties'!AE$33</f>
        <v>0.00029034311030761144</v>
      </c>
      <c r="W596">
        <f aca="true" t="shared" si="394" ref="W596:W620">+V596+U596</f>
        <v>0.0003143113220415576</v>
      </c>
      <c r="X596" s="1">
        <f>+'Volcano Summary'!E$12*10^9/Q596/3600/24/365</f>
        <v>0</v>
      </c>
      <c r="Y596" s="3">
        <f aca="true" t="shared" si="395" ref="Y596:Y620">+C597-C596</f>
        <v>4000</v>
      </c>
      <c r="Z596" s="1">
        <f>+Y596*'Volcano Summary'!B$19*'Volcano Summary'!B$20/1000</f>
        <v>162000000</v>
      </c>
      <c r="AA596" s="1">
        <f t="shared" si="380"/>
        <v>664531.8838430087</v>
      </c>
      <c r="AB596" s="3">
        <f t="shared" si="372"/>
        <v>184.5921899563913</v>
      </c>
      <c r="AC596" s="1">
        <f aca="true" t="shared" si="396" ref="AC596:AC620">+AC595+AA596</f>
        <v>147768629.9670916</v>
      </c>
      <c r="AD596" s="36">
        <f aca="true" t="shared" si="397" ref="AD596:AD620">+AD595+AB596</f>
        <v>41046.841657525445</v>
      </c>
      <c r="AE596" s="36">
        <f t="shared" si="370"/>
        <v>1710.2850690635603</v>
      </c>
      <c r="AG596" s="1">
        <f t="shared" si="381"/>
        <v>162000000000</v>
      </c>
      <c r="AH596" s="1">
        <f aca="true" t="shared" si="398" ref="AH596:AH620">+Z596</f>
        <v>162000000</v>
      </c>
      <c r="AI596" s="1">
        <f aca="true" t="shared" si="399" ref="AI596:AI620">+AH596+AG596</f>
        <v>162162000000</v>
      </c>
      <c r="AJ596" s="1">
        <f aca="true" t="shared" si="400" ref="AJ596:AJ620">+AJ595+AG596</f>
        <v>9331200000000</v>
      </c>
      <c r="AK596" s="1">
        <f aca="true" t="shared" si="401" ref="AK596:AK620">+AK595+AI596</f>
        <v>9340531200000</v>
      </c>
      <c r="AL596" s="39">
        <f>+AJ596/('Volcano Summary'!C$8)*10^6</f>
        <v>647798.7594305754</v>
      </c>
      <c r="AM596" s="1">
        <f t="shared" si="382"/>
        <v>1710.2850690635603</v>
      </c>
    </row>
    <row r="597" spans="1:39" ht="12.75">
      <c r="A597" s="1">
        <f t="shared" si="392"/>
        <v>664531.8838430087</v>
      </c>
      <c r="B597" s="1">
        <f t="shared" si="393"/>
        <v>1717.835757254431</v>
      </c>
      <c r="C597" s="1">
        <f t="shared" si="373"/>
        <v>244000</v>
      </c>
      <c r="D597" s="1">
        <f t="shared" si="383"/>
        <v>557.3781919983771</v>
      </c>
      <c r="E597" s="38">
        <f t="shared" si="375"/>
        <v>5884674694.96925</v>
      </c>
      <c r="F597" s="38">
        <f t="shared" si="376"/>
        <v>3783540022.232471</v>
      </c>
      <c r="G597" s="38">
        <f t="shared" si="377"/>
        <v>1682405349.495693</v>
      </c>
      <c r="H597" s="19">
        <f t="shared" si="384"/>
        <v>0.0008970569842485976</v>
      </c>
      <c r="I597" s="50">
        <f>+I$596*LN(H$596)/LN(H597)</f>
        <v>0.019526971932913854</v>
      </c>
      <c r="J597" s="3">
        <f t="shared" si="385"/>
        <v>3.2516806553646713</v>
      </c>
      <c r="K597" s="12">
        <f t="shared" si="368"/>
        <v>0.6543323521128689</v>
      </c>
      <c r="L597" s="3">
        <f t="shared" si="386"/>
        <v>1033.897033034102</v>
      </c>
      <c r="M597" s="12">
        <f t="shared" si="369"/>
        <v>0.6637886550733875</v>
      </c>
      <c r="N597" s="37">
        <f t="shared" si="387"/>
        <v>345154.86874498683</v>
      </c>
      <c r="O597" s="1">
        <f t="shared" si="378"/>
        <v>517608.57656374096</v>
      </c>
      <c r="P597">
        <f t="shared" si="388"/>
        <v>719.4501904675132</v>
      </c>
      <c r="Q597" s="1">
        <f t="shared" si="389"/>
        <v>248321.73605937028</v>
      </c>
      <c r="R597" s="1">
        <f>+Q597*1000/'Material Properties'!AE$35</f>
        <v>212957346.81860754</v>
      </c>
      <c r="S597" s="1">
        <f t="shared" si="390"/>
        <v>872.7760115516702</v>
      </c>
      <c r="T597" s="1">
        <f t="shared" si="391"/>
        <v>357.3847555663815</v>
      </c>
      <c r="U597">
        <f t="shared" si="379"/>
        <v>2.3941571241120592E-05</v>
      </c>
      <c r="V597">
        <f>+'Material Properties'!AE$31+'Material Properties'!AE$33</f>
        <v>0.00029034311030761144</v>
      </c>
      <c r="W597">
        <f t="shared" si="394"/>
        <v>0.000314284681548732</v>
      </c>
      <c r="X597" s="1">
        <f>+'Volcano Summary'!E$12*10^9/Q597/3600/24/365</f>
        <v>0</v>
      </c>
      <c r="Y597" s="3">
        <f t="shared" si="395"/>
        <v>4000</v>
      </c>
      <c r="Z597" s="1">
        <f>+Y597*'Volcano Summary'!B$19*'Volcano Summary'!B$20/1000</f>
        <v>162000000</v>
      </c>
      <c r="AA597" s="1">
        <f t="shared" si="380"/>
        <v>652379.4596912292</v>
      </c>
      <c r="AB597" s="3">
        <f t="shared" si="372"/>
        <v>181.21651658089698</v>
      </c>
      <c r="AC597" s="1">
        <f t="shared" si="396"/>
        <v>148421009.42678282</v>
      </c>
      <c r="AD597" s="36">
        <f t="shared" si="397"/>
        <v>41228.05817410634</v>
      </c>
      <c r="AE597" s="36">
        <f t="shared" si="370"/>
        <v>1717.835757254431</v>
      </c>
      <c r="AG597" s="1">
        <f t="shared" si="381"/>
        <v>162000000000</v>
      </c>
      <c r="AH597" s="1">
        <f t="shared" si="398"/>
        <v>162000000</v>
      </c>
      <c r="AI597" s="1">
        <f t="shared" si="399"/>
        <v>162162000000</v>
      </c>
      <c r="AJ597" s="1">
        <f t="shared" si="400"/>
        <v>9493200000000</v>
      </c>
      <c r="AK597" s="1">
        <f t="shared" si="401"/>
        <v>9502693200000</v>
      </c>
      <c r="AL597" s="39">
        <f>+AJ597/('Volcano Summary'!C$8)*10^6</f>
        <v>659045.2656706896</v>
      </c>
      <c r="AM597" s="1">
        <f t="shared" si="382"/>
        <v>1717.835757254431</v>
      </c>
    </row>
    <row r="598" spans="1:39" ht="12.75">
      <c r="A598" s="1">
        <f t="shared" si="392"/>
        <v>652379.4596912292</v>
      </c>
      <c r="B598" s="1">
        <f t="shared" si="393"/>
        <v>1725.2506349692064</v>
      </c>
      <c r="C598" s="1">
        <f t="shared" si="373"/>
        <v>248000</v>
      </c>
      <c r="D598" s="1">
        <f t="shared" si="383"/>
        <v>561.9282935520513</v>
      </c>
      <c r="E598" s="38">
        <f t="shared" si="375"/>
        <v>5932713652.820196</v>
      </c>
      <c r="F598" s="38">
        <f t="shared" si="376"/>
        <v>3814426575.708533</v>
      </c>
      <c r="G598" s="38">
        <f t="shared" si="377"/>
        <v>1696139498.5968697</v>
      </c>
      <c r="H598" s="19">
        <f t="shared" si="384"/>
        <v>0.0008897932453968615</v>
      </c>
      <c r="I598" s="50">
        <f aca="true" t="shared" si="402" ref="I598:I611">+I$596*LN(H$596)/LN(H598)</f>
        <v>0.01950437119506949</v>
      </c>
      <c r="J598" s="3">
        <f t="shared" si="385"/>
        <v>3.2354857745085948</v>
      </c>
      <c r="K598" s="12">
        <f t="shared" si="368"/>
        <v>0.6535388029509211</v>
      </c>
      <c r="L598" s="3">
        <f t="shared" si="386"/>
        <v>1032.6431623956485</v>
      </c>
      <c r="M598" s="12">
        <f t="shared" si="369"/>
        <v>0.6634161728136977</v>
      </c>
      <c r="N598" s="37">
        <f t="shared" si="387"/>
        <v>350813.1452817899</v>
      </c>
      <c r="O598" s="1">
        <f t="shared" si="378"/>
        <v>519568.53351119574</v>
      </c>
      <c r="P598">
        <f t="shared" si="388"/>
        <v>720.8110248263381</v>
      </c>
      <c r="Q598" s="1">
        <f t="shared" si="389"/>
        <v>252869.98277311798</v>
      </c>
      <c r="R598" s="1">
        <f>+Q598*1000/'Material Properties'!AE$35</f>
        <v>216857861.401852</v>
      </c>
      <c r="S598" s="1">
        <f t="shared" si="390"/>
        <v>874.4268604913387</v>
      </c>
      <c r="T598" s="1">
        <f t="shared" si="391"/>
        <v>357.77078616814265</v>
      </c>
      <c r="U598">
        <f t="shared" si="379"/>
        <v>2.391580337958925E-05</v>
      </c>
      <c r="V598">
        <f>+'Material Properties'!AE$31+'Material Properties'!AE$33</f>
        <v>0.00029034311030761144</v>
      </c>
      <c r="W598">
        <f t="shared" si="394"/>
        <v>0.0003142589136872007</v>
      </c>
      <c r="X598" s="1">
        <f>+'Volcano Summary'!E$12*10^9/Q598/3600/24/365</f>
        <v>0</v>
      </c>
      <c r="Y598" s="3">
        <f t="shared" si="395"/>
        <v>4000</v>
      </c>
      <c r="Z598" s="1">
        <f>+Y598*'Volcano Summary'!B$19*'Volcano Summary'!B$20/1000</f>
        <v>162000000</v>
      </c>
      <c r="AA598" s="1">
        <f t="shared" si="380"/>
        <v>640645.4345565836</v>
      </c>
      <c r="AB598" s="3">
        <f t="shared" si="372"/>
        <v>177.95706515460657</v>
      </c>
      <c r="AC598" s="1">
        <f t="shared" si="396"/>
        <v>149061654.8613394</v>
      </c>
      <c r="AD598" s="36">
        <f t="shared" si="397"/>
        <v>41406.01523926095</v>
      </c>
      <c r="AE598" s="36">
        <f t="shared" si="370"/>
        <v>1725.2506349692064</v>
      </c>
      <c r="AG598" s="1">
        <f t="shared" si="381"/>
        <v>162000000000</v>
      </c>
      <c r="AH598" s="1">
        <f t="shared" si="398"/>
        <v>162000000</v>
      </c>
      <c r="AI598" s="1">
        <f t="shared" si="399"/>
        <v>162162000000</v>
      </c>
      <c r="AJ598" s="1">
        <f t="shared" si="400"/>
        <v>9655200000000</v>
      </c>
      <c r="AK598" s="1">
        <f t="shared" si="401"/>
        <v>9664855200000</v>
      </c>
      <c r="AL598" s="39">
        <f>+AJ598/('Volcano Summary'!C$8)*10^6</f>
        <v>670291.7719108039</v>
      </c>
      <c r="AM598" s="1">
        <f t="shared" si="382"/>
        <v>1725.2506349692064</v>
      </c>
    </row>
    <row r="599" spans="1:39" ht="12.75">
      <c r="A599" s="1">
        <f t="shared" si="392"/>
        <v>640645.4345565836</v>
      </c>
      <c r="B599" s="1">
        <f t="shared" si="393"/>
        <v>1732.5343034178377</v>
      </c>
      <c r="C599" s="1">
        <f t="shared" si="373"/>
        <v>252000</v>
      </c>
      <c r="D599" s="1">
        <f t="shared" si="383"/>
        <v>566.4418463295779</v>
      </c>
      <c r="E599" s="38">
        <f t="shared" si="375"/>
        <v>5980366736.840384</v>
      </c>
      <c r="F599" s="38">
        <f t="shared" si="376"/>
        <v>3845065032.3639736</v>
      </c>
      <c r="G599" s="38">
        <f t="shared" si="377"/>
        <v>1709763327.8875642</v>
      </c>
      <c r="H599" s="19">
        <f t="shared" si="384"/>
        <v>0.0008827031463863293</v>
      </c>
      <c r="I599" s="50">
        <f t="shared" si="402"/>
        <v>0.019482183094232032</v>
      </c>
      <c r="J599" s="3">
        <f t="shared" si="385"/>
        <v>3.219698431575317</v>
      </c>
      <c r="K599" s="12">
        <f t="shared" si="368"/>
        <v>0.6527652231471905</v>
      </c>
      <c r="L599" s="3">
        <f t="shared" si="386"/>
        <v>1031.420844927607</v>
      </c>
      <c r="M599" s="12">
        <f t="shared" si="369"/>
        <v>0.6630530639262323</v>
      </c>
      <c r="N599" s="37">
        <f t="shared" si="387"/>
        <v>356471.4218185931</v>
      </c>
      <c r="O599" s="1">
        <f t="shared" si="378"/>
        <v>521498.1478094965</v>
      </c>
      <c r="P599">
        <f t="shared" si="388"/>
        <v>722.1482865793538</v>
      </c>
      <c r="Q599" s="1">
        <f t="shared" si="389"/>
        <v>257425.2264808031</v>
      </c>
      <c r="R599" s="1">
        <f>+Q599*1000/'Material Properties'!AE$35</f>
        <v>220764376.51202688</v>
      </c>
      <c r="S599" s="1">
        <f t="shared" si="390"/>
        <v>876.0491131429638</v>
      </c>
      <c r="T599" s="1">
        <f t="shared" si="391"/>
        <v>358.1451869297738</v>
      </c>
      <c r="U599">
        <f t="shared" si="379"/>
        <v>2.389086474978361E-05</v>
      </c>
      <c r="V599">
        <f>+'Material Properties'!AE$31+'Material Properties'!AE$33</f>
        <v>0.00029034311030761144</v>
      </c>
      <c r="W599">
        <f t="shared" si="394"/>
        <v>0.00031423397505739504</v>
      </c>
      <c r="X599" s="1">
        <f>+'Volcano Summary'!E$12*10^9/Q599/3600/24/365</f>
        <v>0</v>
      </c>
      <c r="Y599" s="3">
        <f t="shared" si="395"/>
        <v>4000</v>
      </c>
      <c r="Z599" s="1">
        <f>+Y599*'Volcano Summary'!B$19*'Volcano Summary'!B$20/1000</f>
        <v>162000000</v>
      </c>
      <c r="AA599" s="1">
        <f t="shared" si="380"/>
        <v>629308.9539617469</v>
      </c>
      <c r="AB599" s="3">
        <f t="shared" si="372"/>
        <v>174.8080427671519</v>
      </c>
      <c r="AC599" s="1">
        <f t="shared" si="396"/>
        <v>149690963.81530115</v>
      </c>
      <c r="AD599" s="36">
        <f t="shared" si="397"/>
        <v>41580.823282028105</v>
      </c>
      <c r="AE599" s="36">
        <f t="shared" si="370"/>
        <v>1732.5343034178377</v>
      </c>
      <c r="AG599" s="1">
        <f t="shared" si="381"/>
        <v>162000000000</v>
      </c>
      <c r="AH599" s="1">
        <f t="shared" si="398"/>
        <v>162000000</v>
      </c>
      <c r="AI599" s="1">
        <f t="shared" si="399"/>
        <v>162162000000</v>
      </c>
      <c r="AJ599" s="1">
        <f t="shared" si="400"/>
        <v>9817200000000</v>
      </c>
      <c r="AK599" s="1">
        <f t="shared" si="401"/>
        <v>9827017200000</v>
      </c>
      <c r="AL599" s="39">
        <f>+AJ599/('Volcano Summary'!C$8)*10^6</f>
        <v>681538.278150918</v>
      </c>
      <c r="AM599" s="1">
        <f t="shared" si="382"/>
        <v>1732.5343034178377</v>
      </c>
    </row>
    <row r="600" spans="1:39" ht="12.75">
      <c r="A600" s="1">
        <f t="shared" si="392"/>
        <v>629308.9539617469</v>
      </c>
      <c r="B600" s="1">
        <f t="shared" si="393"/>
        <v>1739.691138057332</v>
      </c>
      <c r="C600" s="1">
        <f t="shared" si="373"/>
        <v>256000</v>
      </c>
      <c r="D600" s="1">
        <f t="shared" si="383"/>
        <v>570.9197171688868</v>
      </c>
      <c r="E600" s="38">
        <f t="shared" si="375"/>
        <v>6027643098.911432</v>
      </c>
      <c r="F600" s="38">
        <f t="shared" si="376"/>
        <v>3875461276.3830843</v>
      </c>
      <c r="G600" s="38">
        <f t="shared" si="377"/>
        <v>1723279453.8547354</v>
      </c>
      <c r="H600" s="19">
        <f t="shared" si="384"/>
        <v>0.0008757798775621763</v>
      </c>
      <c r="I600" s="50">
        <f t="shared" si="402"/>
        <v>0.019460393667651683</v>
      </c>
      <c r="J600" s="3">
        <f t="shared" si="385"/>
        <v>3.2043021183567744</v>
      </c>
      <c r="K600" s="12">
        <f t="shared" si="368"/>
        <v>0.652010803799482</v>
      </c>
      <c r="L600" s="3">
        <f t="shared" si="386"/>
        <v>1030.2288025003286</v>
      </c>
      <c r="M600" s="12">
        <f t="shared" si="369"/>
        <v>0.6626989487222058</v>
      </c>
      <c r="N600" s="37">
        <f t="shared" si="387"/>
        <v>362129.6983553961</v>
      </c>
      <c r="O600" s="1">
        <f t="shared" si="378"/>
        <v>523398.28186266235</v>
      </c>
      <c r="P600">
        <f t="shared" si="388"/>
        <v>723.4627024682491</v>
      </c>
      <c r="Q600" s="1">
        <f t="shared" si="389"/>
        <v>261987.3302162067</v>
      </c>
      <c r="R600" s="1">
        <f>+Q600*1000/'Material Properties'!AE$35</f>
        <v>224676774.6887637</v>
      </c>
      <c r="S600" s="1">
        <f t="shared" si="390"/>
        <v>877.6436511279833</v>
      </c>
      <c r="T600" s="1">
        <f t="shared" si="391"/>
        <v>358.5084928847116</v>
      </c>
      <c r="U600">
        <f t="shared" si="379"/>
        <v>2.386671481007978E-05</v>
      </c>
      <c r="V600">
        <f>+'Material Properties'!AE$31+'Material Properties'!AE$33</f>
        <v>0.00029034311030761144</v>
      </c>
      <c r="W600">
        <f t="shared" si="394"/>
        <v>0.0003142098251176912</v>
      </c>
      <c r="X600" s="1">
        <f>+'Volcano Summary'!E$12*10^9/Q600/3600/24/365</f>
        <v>0</v>
      </c>
      <c r="Y600" s="3">
        <f t="shared" si="395"/>
        <v>4000</v>
      </c>
      <c r="Z600" s="1">
        <f>+Y600*'Volcano Summary'!B$19*'Volcano Summary'!B$20/1000</f>
        <v>162000000</v>
      </c>
      <c r="AA600" s="1">
        <f t="shared" si="380"/>
        <v>618350.5128523142</v>
      </c>
      <c r="AB600" s="3">
        <f t="shared" si="372"/>
        <v>171.76403134786506</v>
      </c>
      <c r="AC600" s="1">
        <f t="shared" si="396"/>
        <v>150309314.32815346</v>
      </c>
      <c r="AD600" s="36">
        <f t="shared" si="397"/>
        <v>41752.58731337597</v>
      </c>
      <c r="AE600" s="36">
        <f t="shared" si="370"/>
        <v>1739.691138057332</v>
      </c>
      <c r="AG600" s="1">
        <f t="shared" si="381"/>
        <v>162000000000</v>
      </c>
      <c r="AH600" s="1">
        <f t="shared" si="398"/>
        <v>162000000</v>
      </c>
      <c r="AI600" s="1">
        <f t="shared" si="399"/>
        <v>162162000000</v>
      </c>
      <c r="AJ600" s="1">
        <f t="shared" si="400"/>
        <v>9979200000000</v>
      </c>
      <c r="AK600" s="1">
        <f t="shared" si="401"/>
        <v>9989179200000</v>
      </c>
      <c r="AL600" s="39">
        <f>+AJ600/('Volcano Summary'!C$8)*10^6</f>
        <v>692784.7843910321</v>
      </c>
      <c r="AM600" s="1">
        <f t="shared" si="382"/>
        <v>1739.691138057332</v>
      </c>
    </row>
    <row r="601" spans="1:39" ht="12.75">
      <c r="A601" s="1">
        <f t="shared" si="392"/>
        <v>618350.5128523142</v>
      </c>
      <c r="B601" s="1">
        <f t="shared" si="393"/>
        <v>1746.7253029749224</v>
      </c>
      <c r="C601" s="1">
        <f t="shared" si="373"/>
        <v>260000</v>
      </c>
      <c r="D601" s="1">
        <f t="shared" si="383"/>
        <v>575.3627391751593</v>
      </c>
      <c r="E601" s="38">
        <f t="shared" si="375"/>
        <v>6074551534.772123</v>
      </c>
      <c r="F601" s="38">
        <f t="shared" si="376"/>
        <v>3905620962.9688125</v>
      </c>
      <c r="G601" s="38">
        <f t="shared" si="377"/>
        <v>1736690391.165504</v>
      </c>
      <c r="H601" s="19">
        <f t="shared" si="384"/>
        <v>0.0008690169973759521</v>
      </c>
      <c r="I601" s="50">
        <f t="shared" si="402"/>
        <v>0.01943898963506646</v>
      </c>
      <c r="J601" s="3">
        <f t="shared" si="385"/>
        <v>3.1892812404687714</v>
      </c>
      <c r="K601" s="12">
        <f t="shared" si="368"/>
        <v>0.6512747807829699</v>
      </c>
      <c r="L601" s="3">
        <f t="shared" si="386"/>
        <v>1029.065827735961</v>
      </c>
      <c r="M601" s="12">
        <f t="shared" si="369"/>
        <v>0.6623534685307818</v>
      </c>
      <c r="N601" s="37">
        <f t="shared" si="387"/>
        <v>367787.97489219916</v>
      </c>
      <c r="O601" s="1">
        <f t="shared" si="378"/>
        <v>525269.7618906014</v>
      </c>
      <c r="P601">
        <f t="shared" si="388"/>
        <v>724.7549667926404</v>
      </c>
      <c r="Q601" s="1">
        <f t="shared" si="389"/>
        <v>266556.16152972827</v>
      </c>
      <c r="R601" s="1">
        <f>+Q601*1000/'Material Properties'!AE$35</f>
        <v>228594942.3450848</v>
      </c>
      <c r="S601" s="1">
        <f t="shared" si="390"/>
        <v>879.2113167118646</v>
      </c>
      <c r="T601" s="1">
        <f t="shared" si="391"/>
        <v>358.8612063659775</v>
      </c>
      <c r="U601">
        <f t="shared" si="379"/>
        <v>2.384331564441632E-05</v>
      </c>
      <c r="V601">
        <f>+'Material Properties'!AE$31+'Material Properties'!AE$33</f>
        <v>0.00029034311030761144</v>
      </c>
      <c r="W601">
        <f t="shared" si="394"/>
        <v>0.00031418642595202776</v>
      </c>
      <c r="X601" s="1">
        <f>+'Volcano Summary'!E$12*10^9/Q601/3600/24/365</f>
        <v>0</v>
      </c>
      <c r="Y601" s="3">
        <f t="shared" si="395"/>
        <v>4000</v>
      </c>
      <c r="Z601" s="1">
        <f>+Y601*'Volcano Summary'!B$19*'Volcano Summary'!B$20/1000</f>
        <v>162000000</v>
      </c>
      <c r="AA601" s="1">
        <f t="shared" si="380"/>
        <v>607751.8488798188</v>
      </c>
      <c r="AB601" s="3">
        <f t="shared" si="372"/>
        <v>168.8199580221719</v>
      </c>
      <c r="AC601" s="1">
        <f t="shared" si="396"/>
        <v>150917066.17703328</v>
      </c>
      <c r="AD601" s="36">
        <f t="shared" si="397"/>
        <v>41921.40727139814</v>
      </c>
      <c r="AE601" s="36">
        <f t="shared" si="370"/>
        <v>1746.7253029749224</v>
      </c>
      <c r="AG601" s="1">
        <f t="shared" si="381"/>
        <v>162000000000</v>
      </c>
      <c r="AH601" s="1">
        <f t="shared" si="398"/>
        <v>162000000</v>
      </c>
      <c r="AI601" s="1">
        <f t="shared" si="399"/>
        <v>162162000000</v>
      </c>
      <c r="AJ601" s="1">
        <f t="shared" si="400"/>
        <v>10141200000000</v>
      </c>
      <c r="AK601" s="1">
        <f t="shared" si="401"/>
        <v>10151341200000</v>
      </c>
      <c r="AL601" s="39">
        <f>+AJ601/('Volcano Summary'!C$8)*10^6</f>
        <v>704031.2906311462</v>
      </c>
      <c r="AM601" s="1">
        <f t="shared" si="382"/>
        <v>1746.7253029749224</v>
      </c>
    </row>
    <row r="602" spans="1:39" ht="12.75">
      <c r="A602" s="1">
        <f t="shared" si="392"/>
        <v>607751.8488798188</v>
      </c>
      <c r="B602" s="1">
        <f t="shared" si="393"/>
        <v>1753.640764150971</v>
      </c>
      <c r="C602" s="1">
        <f t="shared" si="373"/>
        <v>264000</v>
      </c>
      <c r="D602" s="1">
        <f t="shared" si="383"/>
        <v>579.7717135304921</v>
      </c>
      <c r="E602" s="38">
        <f t="shared" si="375"/>
        <v>6121100503.124424</v>
      </c>
      <c r="F602" s="38">
        <f t="shared" si="376"/>
        <v>3935549530.6269584</v>
      </c>
      <c r="G602" s="38">
        <f t="shared" si="377"/>
        <v>1749998558.129494</v>
      </c>
      <c r="H602" s="19">
        <f t="shared" si="384"/>
        <v>0.000862408407190606</v>
      </c>
      <c r="I602" s="50">
        <f t="shared" si="402"/>
        <v>0.019417958355405357</v>
      </c>
      <c r="J602" s="3">
        <f t="shared" si="385"/>
        <v>3.1746210536178654</v>
      </c>
      <c r="K602" s="12">
        <f t="shared" si="368"/>
        <v>0.6505564316272754</v>
      </c>
      <c r="L602" s="3">
        <f t="shared" si="386"/>
        <v>1027.9307790739822</v>
      </c>
      <c r="M602" s="12">
        <f t="shared" si="369"/>
        <v>0.6620162842332109</v>
      </c>
      <c r="N602" s="37">
        <f t="shared" si="387"/>
        <v>373446.25142900215</v>
      </c>
      <c r="O602" s="1">
        <f t="shared" si="378"/>
        <v>527113.3799414603</v>
      </c>
      <c r="P602">
        <f t="shared" si="388"/>
        <v>726.0257433049192</v>
      </c>
      <c r="Q602" s="1">
        <f t="shared" si="389"/>
        <v>271131.59227817704</v>
      </c>
      <c r="R602" s="1">
        <f>+Q602*1000/'Material Properties'!AE$35</f>
        <v>232518769.58713084</v>
      </c>
      <c r="S602" s="1">
        <f t="shared" si="390"/>
        <v>880.7529151027684</v>
      </c>
      <c r="T602" s="1">
        <f t="shared" si="391"/>
        <v>359.2037994797672</v>
      </c>
      <c r="U602">
        <f t="shared" si="379"/>
        <v>2.3820631752267747E-05</v>
      </c>
      <c r="V602">
        <f>+'Material Properties'!AE$31+'Material Properties'!AE$33</f>
        <v>0.00029034311030761144</v>
      </c>
      <c r="W602">
        <f t="shared" si="394"/>
        <v>0.0003141637420598792</v>
      </c>
      <c r="X602" s="1">
        <f>+'Volcano Summary'!E$12*10^9/Q602/3600/24/365</f>
        <v>0</v>
      </c>
      <c r="Y602" s="3">
        <f t="shared" si="395"/>
        <v>4000</v>
      </c>
      <c r="Z602" s="1">
        <f>+Y602*'Volcano Summary'!B$19*'Volcano Summary'!B$20/1000</f>
        <v>162000000</v>
      </c>
      <c r="AA602" s="1">
        <f t="shared" si="380"/>
        <v>597495.8456106081</v>
      </c>
      <c r="AB602" s="3">
        <f t="shared" si="372"/>
        <v>165.97106822516892</v>
      </c>
      <c r="AC602" s="1">
        <f t="shared" si="396"/>
        <v>151514562.0226439</v>
      </c>
      <c r="AD602" s="36">
        <f t="shared" si="397"/>
        <v>42087.378339623305</v>
      </c>
      <c r="AE602" s="36">
        <f t="shared" si="370"/>
        <v>1753.640764150971</v>
      </c>
      <c r="AG602" s="1">
        <f t="shared" si="381"/>
        <v>162000000000</v>
      </c>
      <c r="AH602" s="1">
        <f t="shared" si="398"/>
        <v>162000000</v>
      </c>
      <c r="AI602" s="1">
        <f t="shared" si="399"/>
        <v>162162000000</v>
      </c>
      <c r="AJ602" s="1">
        <f t="shared" si="400"/>
        <v>10303200000000</v>
      </c>
      <c r="AK602" s="1">
        <f t="shared" si="401"/>
        <v>10313503200000</v>
      </c>
      <c r="AL602" s="39">
        <f>+AJ602/('Volcano Summary'!C$8)*10^6</f>
        <v>715277.7968712604</v>
      </c>
      <c r="AM602" s="1">
        <f t="shared" si="382"/>
        <v>1753.640764150971</v>
      </c>
    </row>
    <row r="603" spans="1:39" ht="12.75">
      <c r="A603" s="1">
        <f t="shared" si="392"/>
        <v>597495.8456106081</v>
      </c>
      <c r="B603" s="1">
        <f t="shared" si="393"/>
        <v>1760.44130170425</v>
      </c>
      <c r="C603" s="1">
        <f t="shared" si="373"/>
        <v>268000</v>
      </c>
      <c r="D603" s="1">
        <f t="shared" si="383"/>
        <v>584.1474111806228</v>
      </c>
      <c r="E603" s="38">
        <f t="shared" si="375"/>
        <v>6167298143.441568</v>
      </c>
      <c r="F603" s="38">
        <f t="shared" si="376"/>
        <v>3965252212.6158276</v>
      </c>
      <c r="G603" s="38">
        <f t="shared" si="377"/>
        <v>1763206281.7900875</v>
      </c>
      <c r="H603" s="19">
        <f t="shared" si="384"/>
        <v>0.0008559483281616328</v>
      </c>
      <c r="I603" s="50">
        <f t="shared" si="402"/>
        <v>0.019397287786849172</v>
      </c>
      <c r="J603" s="3">
        <f t="shared" si="385"/>
        <v>3.1603076052023606</v>
      </c>
      <c r="K603" s="12">
        <f t="shared" si="368"/>
        <v>0.6498550726549157</v>
      </c>
      <c r="L603" s="3">
        <f t="shared" si="386"/>
        <v>1026.8225762497248</v>
      </c>
      <c r="M603" s="12">
        <f t="shared" si="369"/>
        <v>0.6616870749196543</v>
      </c>
      <c r="N603" s="37">
        <f t="shared" si="387"/>
        <v>379104.5279658053</v>
      </c>
      <c r="O603" s="1">
        <f t="shared" si="378"/>
        <v>528929.8957647785</v>
      </c>
      <c r="P603">
        <f t="shared" si="388"/>
        <v>727.2756669687076</v>
      </c>
      <c r="Q603" s="1">
        <f t="shared" si="389"/>
        <v>275713.4984271881</v>
      </c>
      <c r="R603" s="1">
        <f>+Q603*1000/'Material Properties'!AE$35</f>
        <v>236448150.0447158</v>
      </c>
      <c r="S603" s="1">
        <f t="shared" si="390"/>
        <v>882.2692165847604</v>
      </c>
      <c r="T603" s="1">
        <f t="shared" si="391"/>
        <v>359.5367163572522</v>
      </c>
      <c r="U603">
        <f t="shared" si="379"/>
        <v>2.379862985850167E-05</v>
      </c>
      <c r="V603">
        <f>+'Material Properties'!AE$31+'Material Properties'!AE$33</f>
        <v>0.00029034311030761144</v>
      </c>
      <c r="W603">
        <f t="shared" si="394"/>
        <v>0.0003141417401661131</v>
      </c>
      <c r="X603" s="1">
        <f>+'Volcano Summary'!E$12*10^9/Q603/3600/24/365</f>
        <v>0</v>
      </c>
      <c r="Y603" s="3">
        <f t="shared" si="395"/>
        <v>4000</v>
      </c>
      <c r="Z603" s="1">
        <f>+Y603*'Volcano Summary'!B$19*'Volcano Summary'!B$20/1000</f>
        <v>162000000</v>
      </c>
      <c r="AA603" s="1">
        <f t="shared" si="380"/>
        <v>587566.4446032983</v>
      </c>
      <c r="AB603" s="3">
        <f t="shared" si="372"/>
        <v>163.21290127869398</v>
      </c>
      <c r="AC603" s="1">
        <f t="shared" si="396"/>
        <v>152102128.4672472</v>
      </c>
      <c r="AD603" s="36">
        <f t="shared" si="397"/>
        <v>42250.591240902</v>
      </c>
      <c r="AE603" s="36">
        <f t="shared" si="370"/>
        <v>1760.44130170425</v>
      </c>
      <c r="AG603" s="1">
        <f t="shared" si="381"/>
        <v>162000000000</v>
      </c>
      <c r="AH603" s="1">
        <f t="shared" si="398"/>
        <v>162000000</v>
      </c>
      <c r="AI603" s="1">
        <f t="shared" si="399"/>
        <v>162162000000</v>
      </c>
      <c r="AJ603" s="1">
        <f t="shared" si="400"/>
        <v>10465200000000</v>
      </c>
      <c r="AK603" s="1">
        <f t="shared" si="401"/>
        <v>10475665200000</v>
      </c>
      <c r="AL603" s="39">
        <f>+AJ603/('Volcano Summary'!C$8)*10^6</f>
        <v>726524.3031113746</v>
      </c>
      <c r="AM603" s="1">
        <f t="shared" si="382"/>
        <v>1760.44130170425</v>
      </c>
    </row>
    <row r="604" spans="1:39" ht="12.75">
      <c r="A604" s="1">
        <f t="shared" si="392"/>
        <v>587566.4446032983</v>
      </c>
      <c r="B604" s="1">
        <f t="shared" si="393"/>
        <v>1767.1662414945501</v>
      </c>
      <c r="C604" s="1">
        <f t="shared" si="373"/>
        <v>272000</v>
      </c>
      <c r="D604" s="1">
        <f t="shared" si="383"/>
        <v>588.4905744087702</v>
      </c>
      <c r="E604" s="38">
        <f t="shared" si="375"/>
        <v>6213152292.584299</v>
      </c>
      <c r="F604" s="38">
        <f t="shared" si="376"/>
        <v>3994734047.629623</v>
      </c>
      <c r="G604" s="38">
        <f t="shared" si="377"/>
        <v>1776315802.6749473</v>
      </c>
      <c r="H604" s="19">
        <f t="shared" si="384"/>
        <v>0.0008496312799951424</v>
      </c>
      <c r="I604" s="50">
        <f t="shared" si="402"/>
        <v>0.019376966449942776</v>
      </c>
      <c r="J604" s="3">
        <f t="shared" si="385"/>
        <v>3.146327680728781</v>
      </c>
      <c r="K604" s="12">
        <f>0.593-(2-J604)*(0.593-0.55)</f>
        <v>0.6422920902713375</v>
      </c>
      <c r="L604" s="3">
        <f t="shared" si="386"/>
        <v>1014.8724640139142</v>
      </c>
      <c r="M604" s="12">
        <f>0.635-(2-J604)*(0.635-0.631)</f>
        <v>0.6395853107229151</v>
      </c>
      <c r="N604" s="37">
        <f t="shared" si="387"/>
        <v>384762.8045026084</v>
      </c>
      <c r="O604" s="1">
        <f t="shared" si="378"/>
        <v>525097.0521148483</v>
      </c>
      <c r="P604">
        <f t="shared" si="388"/>
        <v>724.6358065365307</v>
      </c>
      <c r="Q604" s="1">
        <f t="shared" si="389"/>
        <v>278812.90516600513</v>
      </c>
      <c r="R604" s="1">
        <f>+Q604*1000/'Material Properties'!AE$35</f>
        <v>239106159.1513064</v>
      </c>
      <c r="S604" s="1">
        <f t="shared" si="390"/>
        <v>879.0667615856853</v>
      </c>
      <c r="T604" s="1">
        <f t="shared" si="391"/>
        <v>363.0279077435945</v>
      </c>
      <c r="U604">
        <f t="shared" si="379"/>
        <v>2.3570327577195763E-05</v>
      </c>
      <c r="V604">
        <f>+'Material Properties'!AE$31+'Material Properties'!AE$33</f>
        <v>0.00029034311030761144</v>
      </c>
      <c r="W604">
        <f t="shared" si="394"/>
        <v>0.0003139134378848072</v>
      </c>
      <c r="X604" s="1">
        <f>+'Volcano Summary'!E$12*10^9/Q604/3600/24/365</f>
        <v>0</v>
      </c>
      <c r="Y604" s="3">
        <f t="shared" si="395"/>
        <v>4000</v>
      </c>
      <c r="Z604" s="1">
        <f>+Y604*'Volcano Summary'!B$19*'Volcano Summary'!B$20/1000</f>
        <v>162000000</v>
      </c>
      <c r="AA604" s="1">
        <f t="shared" si="380"/>
        <v>581034.7978819174</v>
      </c>
      <c r="AB604" s="3">
        <f t="shared" si="372"/>
        <v>161.3985549671993</v>
      </c>
      <c r="AC604" s="1">
        <f t="shared" si="396"/>
        <v>152683163.26512912</v>
      </c>
      <c r="AD604" s="36">
        <f t="shared" si="397"/>
        <v>42411.9897958692</v>
      </c>
      <c r="AE604" s="36">
        <f t="shared" si="370"/>
        <v>1767.1662414945501</v>
      </c>
      <c r="AG604" s="1">
        <f t="shared" si="381"/>
        <v>162000000000</v>
      </c>
      <c r="AH604" s="1">
        <f t="shared" si="398"/>
        <v>162000000</v>
      </c>
      <c r="AI604" s="1">
        <f t="shared" si="399"/>
        <v>162162000000</v>
      </c>
      <c r="AJ604" s="1">
        <f t="shared" si="400"/>
        <v>10627200000000</v>
      </c>
      <c r="AK604" s="1">
        <f t="shared" si="401"/>
        <v>10637827200000</v>
      </c>
      <c r="AL604" s="39">
        <f>+AJ604/('Volcano Summary'!C$8)*10^6</f>
        <v>737770.8093514887</v>
      </c>
      <c r="AM604" s="1">
        <f t="shared" si="382"/>
        <v>1767.1662414945501</v>
      </c>
    </row>
    <row r="605" spans="1:39" ht="12.75">
      <c r="A605" s="1">
        <f t="shared" si="392"/>
        <v>581034.7978819174</v>
      </c>
      <c r="B605" s="1">
        <f t="shared" si="393"/>
        <v>1773.7823427343167</v>
      </c>
      <c r="C605" s="1">
        <f t="shared" si="373"/>
        <v>276000</v>
      </c>
      <c r="D605" s="1">
        <f t="shared" si="383"/>
        <v>592.8019183056891</v>
      </c>
      <c r="E605" s="38">
        <f t="shared" si="375"/>
        <v>6258670500.321396</v>
      </c>
      <c r="F605" s="38">
        <f t="shared" si="376"/>
        <v>4023999889.777333</v>
      </c>
      <c r="G605" s="38">
        <f t="shared" si="377"/>
        <v>1789329279.2332711</v>
      </c>
      <c r="H605" s="19">
        <f t="shared" si="384"/>
        <v>0.0008434520614053848</v>
      </c>
      <c r="I605" s="50">
        <f t="shared" si="402"/>
        <v>0.01935698339348437</v>
      </c>
      <c r="J605" s="3">
        <f t="shared" si="385"/>
        <v>3.1326687545824194</v>
      </c>
      <c r="K605" s="12">
        <f aca="true" t="shared" si="403" ref="K605:K638">0.593-(2-J605)*(0.593-0.55)</f>
        <v>0.641704756447044</v>
      </c>
      <c r="L605" s="3">
        <f t="shared" si="386"/>
        <v>1013.9444299706992</v>
      </c>
      <c r="M605" s="12">
        <f aca="true" t="shared" si="404" ref="M605:M620">0.635-(2-J605)*(0.635-0.631)</f>
        <v>0.6395306750183297</v>
      </c>
      <c r="N605" s="37">
        <f t="shared" si="387"/>
        <v>390421.08103941137</v>
      </c>
      <c r="O605" s="1">
        <f t="shared" si="378"/>
        <v>526904.2971782325</v>
      </c>
      <c r="P605">
        <f t="shared" si="388"/>
        <v>725.8817377357227</v>
      </c>
      <c r="Q605" s="1">
        <f t="shared" si="389"/>
        <v>283399.53275354736</v>
      </c>
      <c r="R605" s="1">
        <f>+Q605*1000/'Material Properties'!AE$35</f>
        <v>243039588.650424</v>
      </c>
      <c r="S605" s="1">
        <f t="shared" si="390"/>
        <v>880.5782197479131</v>
      </c>
      <c r="T605" s="1">
        <f t="shared" si="391"/>
        <v>363.2914664855149</v>
      </c>
      <c r="U605">
        <f t="shared" si="379"/>
        <v>2.3553270159725645E-05</v>
      </c>
      <c r="V605">
        <f>+'Material Properties'!AE$31+'Material Properties'!AE$33</f>
        <v>0.00029034311030761144</v>
      </c>
      <c r="W605">
        <f t="shared" si="394"/>
        <v>0.0003138963804673371</v>
      </c>
      <c r="X605" s="1">
        <f>+'Volcano Summary'!E$12*10^9/Q605/3600/24/365</f>
        <v>0</v>
      </c>
      <c r="Y605" s="3">
        <f t="shared" si="395"/>
        <v>4000</v>
      </c>
      <c r="Z605" s="1">
        <f>+Y605*'Volcano Summary'!B$19*'Volcano Summary'!B$20/1000</f>
        <v>162000000</v>
      </c>
      <c r="AA605" s="1">
        <f t="shared" si="380"/>
        <v>571631.1471158282</v>
      </c>
      <c r="AB605" s="3">
        <f t="shared" si="372"/>
        <v>158.78642975439672</v>
      </c>
      <c r="AC605" s="1">
        <f t="shared" si="396"/>
        <v>153254794.41224495</v>
      </c>
      <c r="AD605" s="36">
        <f t="shared" si="397"/>
        <v>42570.7762256236</v>
      </c>
      <c r="AE605" s="36">
        <f t="shared" si="370"/>
        <v>1773.7823427343167</v>
      </c>
      <c r="AG605" s="1">
        <f t="shared" si="381"/>
        <v>162000000000.00003</v>
      </c>
      <c r="AH605" s="1">
        <f t="shared" si="398"/>
        <v>162000000</v>
      </c>
      <c r="AI605" s="1">
        <f t="shared" si="399"/>
        <v>162162000000.00003</v>
      </c>
      <c r="AJ605" s="1">
        <f t="shared" si="400"/>
        <v>10789200000000</v>
      </c>
      <c r="AK605" s="1">
        <f t="shared" si="401"/>
        <v>10799989200000</v>
      </c>
      <c r="AL605" s="39">
        <f>+AJ605/('Volcano Summary'!C$8)*10^6</f>
        <v>749017.3155916029</v>
      </c>
      <c r="AM605" s="1">
        <f t="shared" si="382"/>
        <v>1773.7823427343167</v>
      </c>
    </row>
    <row r="606" spans="1:39" ht="12.75">
      <c r="A606" s="1">
        <f t="shared" si="392"/>
        <v>571631.1471158282</v>
      </c>
      <c r="B606" s="1">
        <f t="shared" si="393"/>
        <v>1780.2929302974974</v>
      </c>
      <c r="C606" s="1">
        <f t="shared" si="373"/>
        <v>280000</v>
      </c>
      <c r="D606" s="1">
        <f t="shared" si="383"/>
        <v>597.0821321441846</v>
      </c>
      <c r="E606" s="38">
        <f t="shared" si="375"/>
        <v>6303860043.84147</v>
      </c>
      <c r="F606" s="38">
        <f t="shared" si="376"/>
        <v>4053054417.913066</v>
      </c>
      <c r="G606" s="38">
        <f t="shared" si="377"/>
        <v>1802248791.9846623</v>
      </c>
      <c r="H606" s="19">
        <f t="shared" si="384"/>
        <v>0.0008374057321133485</v>
      </c>
      <c r="I606" s="50">
        <f t="shared" si="402"/>
        <v>0.019337328162945738</v>
      </c>
      <c r="J606" s="3">
        <f t="shared" si="385"/>
        <v>3.1193189447407645</v>
      </c>
      <c r="K606" s="12">
        <f t="shared" si="403"/>
        <v>0.6411307146238527</v>
      </c>
      <c r="L606" s="3">
        <f t="shared" si="386"/>
        <v>1013.0373983438533</v>
      </c>
      <c r="M606" s="12">
        <f t="shared" si="404"/>
        <v>0.6394772757789631</v>
      </c>
      <c r="N606" s="37">
        <f t="shared" si="387"/>
        <v>396079.3575762143</v>
      </c>
      <c r="O606" s="1">
        <f t="shared" si="378"/>
        <v>528685.9362902156</v>
      </c>
      <c r="P606">
        <f t="shared" si="388"/>
        <v>727.1079261637956</v>
      </c>
      <c r="Q606" s="1">
        <f t="shared" si="389"/>
        <v>287992.44028352964</v>
      </c>
      <c r="R606" s="1">
        <f>+Q606*1000/'Material Properties'!AE$35</f>
        <v>246978403.74285063</v>
      </c>
      <c r="S606" s="1">
        <f t="shared" si="390"/>
        <v>882.0657276530379</v>
      </c>
      <c r="T606" s="1">
        <f t="shared" si="391"/>
        <v>363.5480072029701</v>
      </c>
      <c r="U606">
        <f t="shared" si="379"/>
        <v>2.3536690640272195E-05</v>
      </c>
      <c r="V606">
        <f>+'Material Properties'!AE$31+'Material Properties'!AE$33</f>
        <v>0.00029034311030761144</v>
      </c>
      <c r="W606">
        <f t="shared" si="394"/>
        <v>0.0003138798009478836</v>
      </c>
      <c r="X606" s="1">
        <f>+'Volcano Summary'!E$12*10^9/Q606/3600/24/365</f>
        <v>0</v>
      </c>
      <c r="Y606" s="3">
        <f t="shared" si="395"/>
        <v>4000</v>
      </c>
      <c r="Z606" s="1">
        <f>+Y606*'Volcano Summary'!B$19*'Volcano Summary'!B$20/1000</f>
        <v>162000000</v>
      </c>
      <c r="AA606" s="1">
        <f t="shared" si="380"/>
        <v>562514.76545881</v>
      </c>
      <c r="AB606" s="3">
        <f t="shared" si="372"/>
        <v>156.2541015163361</v>
      </c>
      <c r="AC606" s="1">
        <f t="shared" si="396"/>
        <v>153817309.17770377</v>
      </c>
      <c r="AD606" s="36">
        <f t="shared" si="397"/>
        <v>42727.03032713994</v>
      </c>
      <c r="AE606" s="36">
        <f t="shared" si="370"/>
        <v>1780.2929302974974</v>
      </c>
      <c r="AG606" s="1">
        <f t="shared" si="381"/>
        <v>162000000000.00003</v>
      </c>
      <c r="AH606" s="1">
        <f t="shared" si="398"/>
        <v>162000000</v>
      </c>
      <c r="AI606" s="1">
        <f t="shared" si="399"/>
        <v>162162000000.00003</v>
      </c>
      <c r="AJ606" s="1">
        <f t="shared" si="400"/>
        <v>10951200000000</v>
      </c>
      <c r="AK606" s="1">
        <f t="shared" si="401"/>
        <v>10962151200000</v>
      </c>
      <c r="AL606" s="39">
        <f>+AJ606/('Volcano Summary'!C$8)*10^6</f>
        <v>760263.821831717</v>
      </c>
      <c r="AM606" s="1">
        <f t="shared" si="382"/>
        <v>1780.2929302974974</v>
      </c>
    </row>
    <row r="607" spans="1:39" ht="12.75">
      <c r="A607" s="1">
        <f t="shared" si="392"/>
        <v>562514.76545881</v>
      </c>
      <c r="B607" s="1">
        <f t="shared" si="393"/>
        <v>1786.7011817374084</v>
      </c>
      <c r="C607" s="1">
        <f t="shared" si="373"/>
        <v>284000</v>
      </c>
      <c r="D607" s="1">
        <f t="shared" si="383"/>
        <v>601.3318806655658</v>
      </c>
      <c r="E607" s="38">
        <f t="shared" si="375"/>
        <v>6348727941.335077</v>
      </c>
      <c r="F607" s="38">
        <f t="shared" si="376"/>
        <v>4081902144.368635</v>
      </c>
      <c r="G607" s="38">
        <f t="shared" si="377"/>
        <v>1815076347.4021947</v>
      </c>
      <c r="H607" s="19">
        <f t="shared" si="384"/>
        <v>0.0008314875962448395</v>
      </c>
      <c r="I607" s="50">
        <f t="shared" si="402"/>
        <v>0.01931799077120234</v>
      </c>
      <c r="J607" s="3">
        <f t="shared" si="385"/>
        <v>3.106266971062703</v>
      </c>
      <c r="K607" s="12">
        <f t="shared" si="403"/>
        <v>0.6405694797556961</v>
      </c>
      <c r="L607" s="3">
        <f t="shared" si="386"/>
        <v>1012.1506027221043</v>
      </c>
      <c r="M607" s="12">
        <f t="shared" si="404"/>
        <v>0.6394250678842508</v>
      </c>
      <c r="N607" s="37">
        <f t="shared" si="387"/>
        <v>401737.6341130176</v>
      </c>
      <c r="O607" s="1">
        <f t="shared" si="378"/>
        <v>530442.6320152427</v>
      </c>
      <c r="P607">
        <f t="shared" si="388"/>
        <v>728.3149263987679</v>
      </c>
      <c r="Q607" s="1">
        <f t="shared" si="389"/>
        <v>292591.51542063756</v>
      </c>
      <c r="R607" s="1">
        <f>+Q607*1000/'Material Properties'!AE$35</f>
        <v>250922508.09134698</v>
      </c>
      <c r="S607" s="1">
        <f t="shared" si="390"/>
        <v>883.5299580681232</v>
      </c>
      <c r="T607" s="1">
        <f t="shared" si="391"/>
        <v>363.7978177019917</v>
      </c>
      <c r="U607">
        <f t="shared" si="379"/>
        <v>2.3520568491608923E-05</v>
      </c>
      <c r="V607">
        <f>+'Material Properties'!AE$31+'Material Properties'!AE$33</f>
        <v>0.00029034311030761144</v>
      </c>
      <c r="W607">
        <f t="shared" si="394"/>
        <v>0.00031386367879922034</v>
      </c>
      <c r="X607" s="1">
        <f>+'Volcano Summary'!E$12*10^9/Q607/3600/24/365</f>
        <v>0</v>
      </c>
      <c r="Y607" s="3">
        <f t="shared" si="395"/>
        <v>4000</v>
      </c>
      <c r="Z607" s="1">
        <f>+Y607*'Volcano Summary'!B$19*'Volcano Summary'!B$20/1000</f>
        <v>162000000</v>
      </c>
      <c r="AA607" s="1">
        <f t="shared" si="380"/>
        <v>553672.924408298</v>
      </c>
      <c r="AB607" s="3">
        <f t="shared" si="372"/>
        <v>153.79803455786055</v>
      </c>
      <c r="AC607" s="1">
        <f t="shared" si="396"/>
        <v>154370982.10211205</v>
      </c>
      <c r="AD607" s="36">
        <f t="shared" si="397"/>
        <v>42880.8283616978</v>
      </c>
      <c r="AE607" s="36">
        <f t="shared" si="370"/>
        <v>1786.7011817374084</v>
      </c>
      <c r="AG607" s="1">
        <f t="shared" si="381"/>
        <v>162000000000</v>
      </c>
      <c r="AH607" s="1">
        <f t="shared" si="398"/>
        <v>162000000</v>
      </c>
      <c r="AI607" s="1">
        <f t="shared" si="399"/>
        <v>162162000000</v>
      </c>
      <c r="AJ607" s="1">
        <f t="shared" si="400"/>
        <v>11113200000000</v>
      </c>
      <c r="AK607" s="1">
        <f t="shared" si="401"/>
        <v>11124313200000</v>
      </c>
      <c r="AL607" s="39">
        <f>+AJ607/('Volcano Summary'!C$8)*10^6</f>
        <v>771510.3280718311</v>
      </c>
      <c r="AM607" s="1">
        <f t="shared" si="382"/>
        <v>1786.7011817374084</v>
      </c>
    </row>
    <row r="608" spans="1:39" ht="12.75">
      <c r="A608" s="1">
        <f t="shared" si="392"/>
        <v>553672.924408298</v>
      </c>
      <c r="B608" s="1">
        <f t="shared" si="393"/>
        <v>1793.0101357751116</v>
      </c>
      <c r="C608" s="1">
        <f t="shared" si="373"/>
        <v>288000</v>
      </c>
      <c r="D608" s="1">
        <f t="shared" si="383"/>
        <v>605.5518052848385</v>
      </c>
      <c r="E608" s="38">
        <f t="shared" si="375"/>
        <v>6393280964.718855</v>
      </c>
      <c r="F608" s="38">
        <f t="shared" si="376"/>
        <v>4110547423.134527</v>
      </c>
      <c r="G608" s="38">
        <f t="shared" si="377"/>
        <v>1827813881.5502</v>
      </c>
      <c r="H608" s="19">
        <f t="shared" si="384"/>
        <v>0.0008256931870012522</v>
      </c>
      <c r="I608" s="50">
        <f t="shared" si="402"/>
        <v>0.01929896167137444</v>
      </c>
      <c r="J608" s="3">
        <f t="shared" si="385"/>
        <v>3.0935021168252175</v>
      </c>
      <c r="K608" s="12">
        <f t="shared" si="403"/>
        <v>0.6400205910234842</v>
      </c>
      <c r="L608" s="3">
        <f t="shared" si="386"/>
        <v>1011.2833149747274</v>
      </c>
      <c r="M608" s="12">
        <f t="shared" si="404"/>
        <v>0.6393740084673009</v>
      </c>
      <c r="N608" s="37">
        <f t="shared" si="387"/>
        <v>407395.9106498206</v>
      </c>
      <c r="O608" s="1">
        <f t="shared" si="378"/>
        <v>532175.0216652385</v>
      </c>
      <c r="P608">
        <f t="shared" si="388"/>
        <v>729.503270496602</v>
      </c>
      <c r="Q608" s="1">
        <f t="shared" si="389"/>
        <v>297196.64920598554</v>
      </c>
      <c r="R608" s="1">
        <f>+Q608*1000/'Material Properties'!AE$35</f>
        <v>254871808.25425324</v>
      </c>
      <c r="S608" s="1">
        <f t="shared" si="390"/>
        <v>884.9715564383793</v>
      </c>
      <c r="T608" s="1">
        <f t="shared" si="391"/>
        <v>364.041170032414</v>
      </c>
      <c r="U608">
        <f t="shared" si="379"/>
        <v>2.3504884360506962E-05</v>
      </c>
      <c r="V608">
        <f>+'Material Properties'!AE$31+'Material Properties'!AE$33</f>
        <v>0.00029034311030761144</v>
      </c>
      <c r="W608">
        <f t="shared" si="394"/>
        <v>0.0003138479946681184</v>
      </c>
      <c r="X608" s="1">
        <f>+'Volcano Summary'!E$12*10^9/Q608/3600/24/365</f>
        <v>0</v>
      </c>
      <c r="Y608" s="3">
        <f t="shared" si="395"/>
        <v>4000</v>
      </c>
      <c r="Z608" s="1">
        <f>+Y608*'Volcano Summary'!B$19*'Volcano Summary'!B$20/1000</f>
        <v>162000000</v>
      </c>
      <c r="AA608" s="1">
        <f t="shared" si="380"/>
        <v>545093.628857567</v>
      </c>
      <c r="AB608" s="3">
        <f t="shared" si="372"/>
        <v>151.41489690487973</v>
      </c>
      <c r="AC608" s="1">
        <f t="shared" si="396"/>
        <v>154916075.7309696</v>
      </c>
      <c r="AD608" s="36">
        <f t="shared" si="397"/>
        <v>43032.24325860268</v>
      </c>
      <c r="AE608" s="36">
        <f t="shared" si="370"/>
        <v>1793.0101357751116</v>
      </c>
      <c r="AG608" s="1">
        <f t="shared" si="381"/>
        <v>162000000000</v>
      </c>
      <c r="AH608" s="1">
        <f t="shared" si="398"/>
        <v>162000000</v>
      </c>
      <c r="AI608" s="1">
        <f t="shared" si="399"/>
        <v>162162000000</v>
      </c>
      <c r="AJ608" s="1">
        <f t="shared" si="400"/>
        <v>11275200000000</v>
      </c>
      <c r="AK608" s="1">
        <f t="shared" si="401"/>
        <v>11286475200000</v>
      </c>
      <c r="AL608" s="39">
        <f>+AJ608/('Volcano Summary'!C$8)*10^6</f>
        <v>782756.8343119454</v>
      </c>
      <c r="AM608" s="1">
        <f t="shared" si="382"/>
        <v>1793.0101357751116</v>
      </c>
    </row>
    <row r="609" spans="1:39" ht="12.75">
      <c r="A609" s="1">
        <f t="shared" si="392"/>
        <v>545093.628857567</v>
      </c>
      <c r="B609" s="1">
        <f t="shared" si="393"/>
        <v>1799.22270018908</v>
      </c>
      <c r="C609" s="1">
        <f t="shared" si="373"/>
        <v>292000</v>
      </c>
      <c r="D609" s="1">
        <f t="shared" si="383"/>
        <v>609.7425252208243</v>
      </c>
      <c r="E609" s="38">
        <f t="shared" si="375"/>
        <v>6437525651.567081</v>
      </c>
      <c r="F609" s="38">
        <f t="shared" si="376"/>
        <v>4138994457.531266</v>
      </c>
      <c r="G609" s="38">
        <f t="shared" si="377"/>
        <v>1840463263.495451</v>
      </c>
      <c r="H609" s="19">
        <f t="shared" si="384"/>
        <v>0.0008200182524893111</v>
      </c>
      <c r="I609" s="50">
        <f t="shared" si="402"/>
        <v>0.019280231731599772</v>
      </c>
      <c r="J609" s="3">
        <f t="shared" si="385"/>
        <v>3.081014193213541</v>
      </c>
      <c r="K609" s="12">
        <f t="shared" si="403"/>
        <v>0.6394836103081821</v>
      </c>
      <c r="L609" s="3">
        <f t="shared" si="386"/>
        <v>1010.434842838886</v>
      </c>
      <c r="M609" s="12">
        <f t="shared" si="404"/>
        <v>0.6393240567728542</v>
      </c>
      <c r="N609" s="37">
        <f t="shared" si="387"/>
        <v>413054.18718662363</v>
      </c>
      <c r="O609" s="1">
        <f t="shared" si="378"/>
        <v>533883.7185744046</v>
      </c>
      <c r="P609">
        <f t="shared" si="388"/>
        <v>730.6734691874371</v>
      </c>
      <c r="Q609" s="1">
        <f t="shared" si="389"/>
        <v>301807.73591404734</v>
      </c>
      <c r="R609" s="1">
        <f>+Q609*1000/'Material Properties'!AE$35</f>
        <v>258826213.56279466</v>
      </c>
      <c r="S609" s="1">
        <f t="shared" si="390"/>
        <v>886.3911423383379</v>
      </c>
      <c r="T609" s="1">
        <f t="shared" si="391"/>
        <v>364.2783215590946</v>
      </c>
      <c r="U609">
        <f t="shared" si="379"/>
        <v>2.348961998449815E-05</v>
      </c>
      <c r="V609">
        <f>+'Material Properties'!AE$31+'Material Properties'!AE$33</f>
        <v>0.00029034311030761144</v>
      </c>
      <c r="W609">
        <f t="shared" si="394"/>
        <v>0.0003138327302921096</v>
      </c>
      <c r="X609" s="1">
        <f>+'Volcano Summary'!E$12*10^9/Q609/3600/24/365</f>
        <v>0</v>
      </c>
      <c r="Y609" s="3">
        <f t="shared" si="395"/>
        <v>4000</v>
      </c>
      <c r="Z609" s="1">
        <f>+Y609*'Volcano Summary'!B$19*'Volcano Summary'!B$20/1000</f>
        <v>162000000</v>
      </c>
      <c r="AA609" s="1">
        <f t="shared" si="380"/>
        <v>536765.5653668746</v>
      </c>
      <c r="AB609" s="3">
        <f t="shared" si="372"/>
        <v>149.10154593524294</v>
      </c>
      <c r="AC609" s="1">
        <f t="shared" si="396"/>
        <v>155452841.29633647</v>
      </c>
      <c r="AD609" s="36">
        <f t="shared" si="397"/>
        <v>43181.34480453792</v>
      </c>
      <c r="AE609" s="36">
        <f t="shared" si="370"/>
        <v>1799.22270018908</v>
      </c>
      <c r="AG609" s="1">
        <f t="shared" si="381"/>
        <v>162000000000</v>
      </c>
      <c r="AH609" s="1">
        <f t="shared" si="398"/>
        <v>162000000</v>
      </c>
      <c r="AI609" s="1">
        <f t="shared" si="399"/>
        <v>162162000000</v>
      </c>
      <c r="AJ609" s="1">
        <f t="shared" si="400"/>
        <v>11437200000000</v>
      </c>
      <c r="AK609" s="1">
        <f t="shared" si="401"/>
        <v>11448637200000</v>
      </c>
      <c r="AL609" s="39">
        <f>+AJ609/('Volcano Summary'!C$8)*10^6</f>
        <v>794003.3405520595</v>
      </c>
      <c r="AM609" s="1">
        <f t="shared" si="382"/>
        <v>1799.22270018908</v>
      </c>
    </row>
    <row r="610" spans="1:39" ht="12.75">
      <c r="A610" s="1">
        <f t="shared" si="392"/>
        <v>536765.5653668746</v>
      </c>
      <c r="B610" s="1">
        <f t="shared" si="393"/>
        <v>1805.3416591558907</v>
      </c>
      <c r="C610" s="1">
        <f t="shared" si="373"/>
        <v>296000</v>
      </c>
      <c r="D610" s="1">
        <f t="shared" si="383"/>
        <v>613.9046385568431</v>
      </c>
      <c r="E610" s="38">
        <f t="shared" si="375"/>
        <v>6481468316.310118</v>
      </c>
      <c r="F610" s="38">
        <f t="shared" si="376"/>
        <v>4167247307.409435</v>
      </c>
      <c r="G610" s="38">
        <f t="shared" si="377"/>
        <v>1853026298.5087512</v>
      </c>
      <c r="H610" s="19">
        <f t="shared" si="384"/>
        <v>0.0008144587426076333</v>
      </c>
      <c r="I610" s="50">
        <f t="shared" si="402"/>
        <v>0.01926179221157608</v>
      </c>
      <c r="J610" s="3">
        <f t="shared" si="385"/>
        <v>3.0687935065009757</v>
      </c>
      <c r="K610" s="12">
        <f t="shared" si="403"/>
        <v>0.6389581207795418</v>
      </c>
      <c r="L610" s="3">
        <f t="shared" si="386"/>
        <v>1009.6045276897155</v>
      </c>
      <c r="M610" s="12">
        <f t="shared" si="404"/>
        <v>0.6392751740260039</v>
      </c>
      <c r="N610" s="37">
        <f t="shared" si="387"/>
        <v>418712.46372342674</v>
      </c>
      <c r="O610" s="1">
        <f t="shared" si="378"/>
        <v>535569.3132939679</v>
      </c>
      <c r="P610">
        <f t="shared" si="388"/>
        <v>731.8260129935037</v>
      </c>
      <c r="Q610" s="1">
        <f t="shared" si="389"/>
        <v>306424.67291740247</v>
      </c>
      <c r="R610" s="1">
        <f>+Q610*1000/'Material Properties'!AE$35</f>
        <v>262785636.00508976</v>
      </c>
      <c r="S610" s="1">
        <f t="shared" si="390"/>
        <v>887.7893108280059</v>
      </c>
      <c r="T610" s="1">
        <f t="shared" si="391"/>
        <v>364.50951594657795</v>
      </c>
      <c r="U610">
        <f t="shared" si="379"/>
        <v>2.3474758115642697E-05</v>
      </c>
      <c r="V610">
        <f>+'Material Properties'!AE$31+'Material Properties'!AE$33</f>
        <v>0.00029034311030761144</v>
      </c>
      <c r="W610">
        <f t="shared" si="394"/>
        <v>0.00031381786842325413</v>
      </c>
      <c r="X610" s="1">
        <f>+'Volcano Summary'!E$12*10^9/Q610/3600/24/365</f>
        <v>0</v>
      </c>
      <c r="Y610" s="3">
        <f t="shared" si="395"/>
        <v>4000</v>
      </c>
      <c r="Z610" s="1">
        <f>+Y610*'Volcano Summary'!B$19*'Volcano Summary'!B$20/1000</f>
        <v>162000000</v>
      </c>
      <c r="AA610" s="1">
        <f t="shared" si="380"/>
        <v>528678.0547324513</v>
      </c>
      <c r="AB610" s="3">
        <f t="shared" si="372"/>
        <v>146.8550152034587</v>
      </c>
      <c r="AC610" s="1">
        <f t="shared" si="396"/>
        <v>155981519.3510689</v>
      </c>
      <c r="AD610" s="36">
        <f t="shared" si="397"/>
        <v>43328.19981974138</v>
      </c>
      <c r="AE610" s="36">
        <f t="shared" si="370"/>
        <v>1805.3416591558907</v>
      </c>
      <c r="AG610" s="1">
        <f t="shared" si="381"/>
        <v>162000000000</v>
      </c>
      <c r="AH610" s="1">
        <f t="shared" si="398"/>
        <v>162000000</v>
      </c>
      <c r="AI610" s="1">
        <f t="shared" si="399"/>
        <v>162162000000</v>
      </c>
      <c r="AJ610" s="1">
        <f t="shared" si="400"/>
        <v>11599200000000</v>
      </c>
      <c r="AK610" s="1">
        <f t="shared" si="401"/>
        <v>11610799200000</v>
      </c>
      <c r="AL610" s="39">
        <f>+AJ610/('Volcano Summary'!C$8)*10^6</f>
        <v>805249.8467921737</v>
      </c>
      <c r="AM610" s="1">
        <f t="shared" si="382"/>
        <v>1805.3416591558907</v>
      </c>
    </row>
    <row r="611" spans="1:39" ht="12.75">
      <c r="A611" s="1">
        <f t="shared" si="392"/>
        <v>528678.0547324513</v>
      </c>
      <c r="B611" s="1">
        <f t="shared" si="393"/>
        <v>1811.369680086953</v>
      </c>
      <c r="C611" s="1">
        <f t="shared" si="373"/>
        <v>300000</v>
      </c>
      <c r="D611" s="1">
        <f t="shared" si="383"/>
        <v>618.0387232371033</v>
      </c>
      <c r="E611" s="38">
        <f t="shared" si="375"/>
        <v>6525115060.754073</v>
      </c>
      <c r="F611" s="38">
        <f t="shared" si="376"/>
        <v>4195309895.91327</v>
      </c>
      <c r="G611" s="38">
        <f t="shared" si="377"/>
        <v>1865504731.0724673</v>
      </c>
      <c r="H611" s="19">
        <f t="shared" si="384"/>
        <v>0.000809010796898208</v>
      </c>
      <c r="I611" s="50">
        <f t="shared" si="402"/>
        <v>0.019243634740727173</v>
      </c>
      <c r="J611" s="3">
        <f t="shared" si="385"/>
        <v>3.056830827681373</v>
      </c>
      <c r="K611" s="12">
        <f t="shared" si="403"/>
        <v>0.6384437255902989</v>
      </c>
      <c r="L611" s="3">
        <f t="shared" si="386"/>
        <v>1008.7917424770511</v>
      </c>
      <c r="M611" s="12">
        <f t="shared" si="404"/>
        <v>0.6392273233107255</v>
      </c>
      <c r="N611" s="37">
        <f t="shared" si="387"/>
        <v>424370.7402602297</v>
      </c>
      <c r="O611" s="1">
        <f t="shared" si="378"/>
        <v>537232.3747128834</v>
      </c>
      <c r="P611">
        <f t="shared" si="388"/>
        <v>732.9613732748019</v>
      </c>
      <c r="Q611" s="1">
        <f t="shared" si="389"/>
        <v>311047.36055878224</v>
      </c>
      <c r="R611" s="1">
        <f>+Q611*1000/'Material Properties'!AE$35</f>
        <v>266749990.11641908</v>
      </c>
      <c r="S611" s="1">
        <f t="shared" si="390"/>
        <v>889.1666337213969</v>
      </c>
      <c r="T611" s="1">
        <f t="shared" si="391"/>
        <v>364.7349840652731</v>
      </c>
      <c r="U611">
        <f t="shared" si="379"/>
        <v>2.346028245062205E-05</v>
      </c>
      <c r="V611">
        <f>+'Material Properties'!AE$31+'Material Properties'!AE$33</f>
        <v>0.00029034311030761144</v>
      </c>
      <c r="W611">
        <f t="shared" si="394"/>
        <v>0.00031380339275823347</v>
      </c>
      <c r="X611" s="1">
        <f>+'Volcano Summary'!E$12*10^9/Q611/3600/24/365</f>
        <v>0</v>
      </c>
      <c r="Y611" s="3">
        <f t="shared" si="395"/>
        <v>4000</v>
      </c>
      <c r="Z611" s="1">
        <f>+Y611*'Volcano Summary'!B$19*'Volcano Summary'!B$20/1000</f>
        <v>162000000</v>
      </c>
      <c r="AA611" s="1">
        <f t="shared" si="380"/>
        <v>520821.00844377675</v>
      </c>
      <c r="AB611" s="3">
        <f t="shared" si="372"/>
        <v>144.67250234549354</v>
      </c>
      <c r="AC611" s="1">
        <f t="shared" si="396"/>
        <v>156502340.3595127</v>
      </c>
      <c r="AD611" s="36">
        <f t="shared" si="397"/>
        <v>43472.87232208687</v>
      </c>
      <c r="AE611" s="36">
        <f t="shared" si="370"/>
        <v>1811.369680086953</v>
      </c>
      <c r="AG611" s="1">
        <f t="shared" si="381"/>
        <v>162000000000</v>
      </c>
      <c r="AH611" s="1">
        <f t="shared" si="398"/>
        <v>162000000</v>
      </c>
      <c r="AI611" s="1">
        <f t="shared" si="399"/>
        <v>162162000000</v>
      </c>
      <c r="AJ611" s="1">
        <f t="shared" si="400"/>
        <v>11761200000000</v>
      </c>
      <c r="AK611" s="1">
        <f t="shared" si="401"/>
        <v>11772961200000</v>
      </c>
      <c r="AL611" s="39">
        <f>+AJ611/('Volcano Summary'!C$8)*10^6</f>
        <v>816496.3530322878</v>
      </c>
      <c r="AM611" s="1">
        <f t="shared" si="382"/>
        <v>1811.369680086953</v>
      </c>
    </row>
    <row r="612" spans="1:39" ht="12.75">
      <c r="A612" s="1">
        <f t="shared" si="392"/>
        <v>520821.00844377675</v>
      </c>
      <c r="B612" s="1">
        <f t="shared" si="393"/>
        <v>1817.2952235545729</v>
      </c>
      <c r="C612" s="1">
        <f t="shared" si="373"/>
        <v>304000</v>
      </c>
      <c r="D612" s="1">
        <f t="shared" si="383"/>
        <v>622.1453380035002</v>
      </c>
      <c r="E612" s="38">
        <f t="shared" si="375"/>
        <v>6568471783.97132</v>
      </c>
      <c r="F612" s="38">
        <f t="shared" si="376"/>
        <v>4223186015.8397536</v>
      </c>
      <c r="G612" s="38">
        <f t="shared" si="377"/>
        <v>1877900247.7081888</v>
      </c>
      <c r="H612" s="19">
        <f t="shared" si="384"/>
        <v>0.0008036707332799896</v>
      </c>
      <c r="I612" s="50">
        <v>0.019</v>
      </c>
      <c r="J612" s="3">
        <f t="shared" si="385"/>
        <v>3.0269743932319804</v>
      </c>
      <c r="K612" s="12">
        <f t="shared" si="403"/>
        <v>0.6371598989089751</v>
      </c>
      <c r="L612" s="3">
        <f t="shared" si="386"/>
        <v>1006.7631944578912</v>
      </c>
      <c r="M612" s="12">
        <f t="shared" si="404"/>
        <v>0.639107897572928</v>
      </c>
      <c r="N612" s="37">
        <f t="shared" si="387"/>
        <v>430029.0167970329</v>
      </c>
      <c r="O612" s="1">
        <f t="shared" si="378"/>
        <v>541440.3841679099</v>
      </c>
      <c r="P612">
        <f t="shared" si="388"/>
        <v>735.8263274495619</v>
      </c>
      <c r="Q612" s="1">
        <f t="shared" si="389"/>
        <v>316426.6721265067</v>
      </c>
      <c r="R612" s="1">
        <f>+Q612*1000/'Material Properties'!AE$35</f>
        <v>271363214.6264932</v>
      </c>
      <c r="S612" s="1">
        <f t="shared" si="390"/>
        <v>892.6421533766224</v>
      </c>
      <c r="T612" s="1">
        <f t="shared" si="391"/>
        <v>365.2940592518245</v>
      </c>
      <c r="U612">
        <f t="shared" si="379"/>
        <v>2.3424465207124364E-05</v>
      </c>
      <c r="V612">
        <f>+'Material Properties'!AE$31+'Material Properties'!AE$33</f>
        <v>0.00029034311030761144</v>
      </c>
      <c r="W612">
        <f t="shared" si="394"/>
        <v>0.0003137675755147358</v>
      </c>
      <c r="X612" s="1">
        <f>+'Volcano Summary'!E$12*10^9/Q612/3600/24/365</f>
        <v>0</v>
      </c>
      <c r="Y612" s="3">
        <f t="shared" si="395"/>
        <v>4000</v>
      </c>
      <c r="Z612" s="1">
        <f>+Y612*'Volcano Summary'!B$19*'Volcano Summary'!B$20/1000</f>
        <v>162000000</v>
      </c>
      <c r="AA612" s="1">
        <f t="shared" si="380"/>
        <v>511966.9556023797</v>
      </c>
      <c r="AB612" s="3">
        <f t="shared" si="372"/>
        <v>142.21304322288324</v>
      </c>
      <c r="AC612" s="1">
        <f t="shared" si="396"/>
        <v>157014307.31511506</v>
      </c>
      <c r="AD612" s="36">
        <f t="shared" si="397"/>
        <v>43615.08536530975</v>
      </c>
      <c r="AE612" s="36">
        <f t="shared" si="370"/>
        <v>1817.2952235545729</v>
      </c>
      <c r="AG612" s="1">
        <f t="shared" si="381"/>
        <v>162000000000</v>
      </c>
      <c r="AH612" s="1">
        <f t="shared" si="398"/>
        <v>162000000</v>
      </c>
      <c r="AI612" s="1">
        <f t="shared" si="399"/>
        <v>162162000000</v>
      </c>
      <c r="AJ612" s="1">
        <f t="shared" si="400"/>
        <v>11923200000000</v>
      </c>
      <c r="AK612" s="1">
        <f t="shared" si="401"/>
        <v>11935123200000</v>
      </c>
      <c r="AL612" s="39">
        <f>+AJ612/('Volcano Summary'!C$8)*10^6</f>
        <v>827742.859272402</v>
      </c>
      <c r="AM612" s="1">
        <f t="shared" si="382"/>
        <v>1817.2952235545729</v>
      </c>
    </row>
    <row r="613" spans="1:39" ht="12.75">
      <c r="A613" s="1">
        <f t="shared" si="392"/>
        <v>511966.9556023797</v>
      </c>
      <c r="B613" s="1">
        <f t="shared" si="393"/>
        <v>1823.135082967565</v>
      </c>
      <c r="C613" s="1">
        <f t="shared" si="373"/>
        <v>308000</v>
      </c>
      <c r="D613" s="1">
        <f t="shared" si="383"/>
        <v>626.2250232771205</v>
      </c>
      <c r="E613" s="38">
        <f t="shared" si="375"/>
        <v>6611544191.607214</v>
      </c>
      <c r="F613" s="38">
        <f t="shared" si="376"/>
        <v>4250879335.6223474</v>
      </c>
      <c r="G613" s="38">
        <f t="shared" si="377"/>
        <v>1890214479.6374807</v>
      </c>
      <c r="H613" s="19">
        <f t="shared" si="384"/>
        <v>0.0007984350375898941</v>
      </c>
      <c r="I613" s="50">
        <f>+I$612*LN(H$612)/LN(H613)</f>
        <v>0.018982589756702712</v>
      </c>
      <c r="J613" s="3">
        <f t="shared" si="385"/>
        <v>3.015636476594647</v>
      </c>
      <c r="K613" s="12">
        <f t="shared" si="403"/>
        <v>0.6366723684935697</v>
      </c>
      <c r="L613" s="3">
        <f t="shared" si="386"/>
        <v>1005.9928577194221</v>
      </c>
      <c r="M613" s="12">
        <f t="shared" si="404"/>
        <v>0.6390625459063786</v>
      </c>
      <c r="N613" s="37">
        <f t="shared" si="387"/>
        <v>435687.29333383596</v>
      </c>
      <c r="O613" s="1">
        <f t="shared" si="378"/>
        <v>543060.1955318855</v>
      </c>
      <c r="P613">
        <f t="shared" si="388"/>
        <v>736.926180517347</v>
      </c>
      <c r="Q613" s="1">
        <f t="shared" si="389"/>
        <v>321069.3729764447</v>
      </c>
      <c r="R613" s="1">
        <f>+Q613*1000/'Material Properties'!AE$35</f>
        <v>275344731.79355633</v>
      </c>
      <c r="S613" s="1">
        <f t="shared" si="390"/>
        <v>893.976401927131</v>
      </c>
      <c r="T613" s="1">
        <f t="shared" si="391"/>
        <v>365.505002307583</v>
      </c>
      <c r="U613">
        <f t="shared" si="379"/>
        <v>2.341097950622186E-05</v>
      </c>
      <c r="V613">
        <f>+'Material Properties'!AE$31+'Material Properties'!AE$33</f>
        <v>0.00029034311030761144</v>
      </c>
      <c r="W613">
        <f t="shared" si="394"/>
        <v>0.0003137540898138333</v>
      </c>
      <c r="X613" s="1">
        <f>+'Volcano Summary'!E$12*10^9/Q613/3600/24/365</f>
        <v>0</v>
      </c>
      <c r="Y613" s="3">
        <f t="shared" si="395"/>
        <v>4000</v>
      </c>
      <c r="Z613" s="1">
        <f>+Y613*'Volcano Summary'!B$19*'Volcano Summary'!B$20/1000</f>
        <v>162000000</v>
      </c>
      <c r="AA613" s="1">
        <f t="shared" si="380"/>
        <v>504563.8532825276</v>
      </c>
      <c r="AB613" s="3">
        <f t="shared" si="372"/>
        <v>140.15662591181322</v>
      </c>
      <c r="AC613" s="1">
        <f t="shared" si="396"/>
        <v>157518871.1683976</v>
      </c>
      <c r="AD613" s="36">
        <f t="shared" si="397"/>
        <v>43755.24199122156</v>
      </c>
      <c r="AE613" s="36">
        <f t="shared" si="370"/>
        <v>1823.135082967565</v>
      </c>
      <c r="AG613" s="1">
        <f t="shared" si="381"/>
        <v>161999999999.99997</v>
      </c>
      <c r="AH613" s="1">
        <f t="shared" si="398"/>
        <v>162000000</v>
      </c>
      <c r="AI613" s="1">
        <f t="shared" si="399"/>
        <v>162161999999.99997</v>
      </c>
      <c r="AJ613" s="1">
        <f t="shared" si="400"/>
        <v>12085200000000</v>
      </c>
      <c r="AK613" s="1">
        <f t="shared" si="401"/>
        <v>12097285200000</v>
      </c>
      <c r="AL613" s="39">
        <f>+AJ613/('Volcano Summary'!C$8)*10^6</f>
        <v>838989.3655125161</v>
      </c>
      <c r="AM613" s="1">
        <f t="shared" si="382"/>
        <v>1823.135082967565</v>
      </c>
    </row>
    <row r="614" spans="1:39" ht="12.75">
      <c r="A614" s="1">
        <f t="shared" si="392"/>
        <v>504563.8532825276</v>
      </c>
      <c r="B614" s="1">
        <f t="shared" si="393"/>
        <v>1828.8916048915596</v>
      </c>
      <c r="C614" s="1">
        <f t="shared" si="373"/>
        <v>312000</v>
      </c>
      <c r="D614" s="1">
        <f t="shared" si="383"/>
        <v>630.2783019883921</v>
      </c>
      <c r="E614" s="38">
        <f t="shared" si="375"/>
        <v>6654337804.644636</v>
      </c>
      <c r="F614" s="38">
        <f t="shared" si="376"/>
        <v>4278393404.9661355</v>
      </c>
      <c r="G614" s="38">
        <f t="shared" si="377"/>
        <v>1902449005.2876341</v>
      </c>
      <c r="H614" s="19">
        <f t="shared" si="384"/>
        <v>0.0007933003538636946</v>
      </c>
      <c r="I614" s="50">
        <f aca="true" t="shared" si="405" ref="I614:I638">+I$612*LN(H$612)/LN(H614)</f>
        <v>0.018965435431794086</v>
      </c>
      <c r="J614" s="3">
        <f t="shared" si="385"/>
        <v>3.0045286639221302</v>
      </c>
      <c r="K614" s="12">
        <f t="shared" si="403"/>
        <v>0.6361947325486514</v>
      </c>
      <c r="L614" s="3">
        <f t="shared" si="386"/>
        <v>1005.2381550293795</v>
      </c>
      <c r="M614" s="12">
        <f t="shared" si="404"/>
        <v>0.6390181146556886</v>
      </c>
      <c r="N614" s="37">
        <f t="shared" si="387"/>
        <v>441345.56987063884</v>
      </c>
      <c r="O614" s="1">
        <f t="shared" si="378"/>
        <v>544658.9881131918</v>
      </c>
      <c r="P614">
        <f t="shared" si="388"/>
        <v>738.0101544783729</v>
      </c>
      <c r="Q614" s="1">
        <f t="shared" si="389"/>
        <v>325717.51219857566</v>
      </c>
      <c r="R614" s="1">
        <f>+Q614*1000/'Material Properties'!AE$35</f>
        <v>279330912.83471924</v>
      </c>
      <c r="S614" s="1">
        <f t="shared" si="390"/>
        <v>895.2913872907668</v>
      </c>
      <c r="T614" s="1">
        <f t="shared" si="391"/>
        <v>365.71093584276355</v>
      </c>
      <c r="U614">
        <f t="shared" si="379"/>
        <v>2.339782903715396E-05</v>
      </c>
      <c r="V614">
        <f>+'Material Properties'!AE$31+'Material Properties'!AE$33</f>
        <v>0.00029034311030761144</v>
      </c>
      <c r="W614">
        <f t="shared" si="394"/>
        <v>0.0003137409393447654</v>
      </c>
      <c r="X614" s="1">
        <f>+'Volcano Summary'!E$12*10^9/Q614/3600/24/365</f>
        <v>0</v>
      </c>
      <c r="Y614" s="3">
        <f t="shared" si="395"/>
        <v>4000</v>
      </c>
      <c r="Z614" s="1">
        <f>+Y614*'Volcano Summary'!B$19*'Volcano Summary'!B$20/1000</f>
        <v>162000000</v>
      </c>
      <c r="AA614" s="1">
        <f t="shared" si="380"/>
        <v>497363.4942331124</v>
      </c>
      <c r="AB614" s="3">
        <f t="shared" si="372"/>
        <v>138.15652617586454</v>
      </c>
      <c r="AC614" s="1">
        <f t="shared" si="396"/>
        <v>158016234.6626307</v>
      </c>
      <c r="AD614" s="36">
        <f t="shared" si="397"/>
        <v>43893.39851739743</v>
      </c>
      <c r="AE614" s="36">
        <f aca="true" t="shared" si="406" ref="AE614:AE638">+AD614/24</f>
        <v>1828.8916048915596</v>
      </c>
      <c r="AG614" s="1">
        <f t="shared" si="381"/>
        <v>162000000000</v>
      </c>
      <c r="AH614" s="1">
        <f t="shared" si="398"/>
        <v>162000000</v>
      </c>
      <c r="AI614" s="1">
        <f t="shared" si="399"/>
        <v>162162000000</v>
      </c>
      <c r="AJ614" s="1">
        <f t="shared" si="400"/>
        <v>12247200000000</v>
      </c>
      <c r="AK614" s="1">
        <f t="shared" si="401"/>
        <v>12259447200000</v>
      </c>
      <c r="AL614" s="39">
        <f>+AJ614/('Volcano Summary'!C$8)*10^6</f>
        <v>850235.8717526302</v>
      </c>
      <c r="AM614" s="1">
        <f t="shared" si="382"/>
        <v>1828.8916048915596</v>
      </c>
    </row>
    <row r="615" spans="1:39" ht="12.75">
      <c r="A615" s="1">
        <f t="shared" si="392"/>
        <v>497363.4942331124</v>
      </c>
      <c r="B615" s="1">
        <f t="shared" si="393"/>
        <v>1834.5670424861228</v>
      </c>
      <c r="C615" s="1">
        <f t="shared" si="373"/>
        <v>316000</v>
      </c>
      <c r="D615" s="1">
        <f t="shared" si="383"/>
        <v>634.3056803594868</v>
      </c>
      <c r="E615" s="38">
        <f t="shared" si="375"/>
        <v>6696857967.664429</v>
      </c>
      <c r="F615" s="38">
        <f t="shared" si="376"/>
        <v>4305731660.158859</v>
      </c>
      <c r="G615" s="38">
        <f t="shared" si="377"/>
        <v>1914605352.6532893</v>
      </c>
      <c r="H615" s="19">
        <f t="shared" si="384"/>
        <v>0.0007882634752957433</v>
      </c>
      <c r="I615" s="50">
        <f t="shared" si="405"/>
        <v>0.01894853002650682</v>
      </c>
      <c r="J615" s="3">
        <f t="shared" si="385"/>
        <v>2.993643413044001</v>
      </c>
      <c r="K615" s="12">
        <f t="shared" si="403"/>
        <v>0.635726666760892</v>
      </c>
      <c r="L615" s="3">
        <f t="shared" si="386"/>
        <v>1004.498573946973</v>
      </c>
      <c r="M615" s="12">
        <f t="shared" si="404"/>
        <v>0.638974573652176</v>
      </c>
      <c r="N615" s="37">
        <f t="shared" si="387"/>
        <v>447003.84640744206</v>
      </c>
      <c r="O615" s="1">
        <f t="shared" si="378"/>
        <v>546237.2567992336</v>
      </c>
      <c r="P615">
        <f t="shared" si="388"/>
        <v>739.078654000529</v>
      </c>
      <c r="Q615" s="1">
        <f t="shared" si="389"/>
        <v>330371.00113587145</v>
      </c>
      <c r="R615" s="1">
        <f>+Q615*1000/'Material Properties'!AE$35</f>
        <v>283321681.7189192</v>
      </c>
      <c r="S615" s="1">
        <f t="shared" si="390"/>
        <v>896.5876003763267</v>
      </c>
      <c r="T615" s="1">
        <f t="shared" si="391"/>
        <v>365.9120437655945</v>
      </c>
      <c r="U615">
        <f t="shared" si="379"/>
        <v>2.3385000972000726E-05</v>
      </c>
      <c r="V615">
        <f>+'Material Properties'!AE$31+'Material Properties'!AE$33</f>
        <v>0.00029034311030761144</v>
      </c>
      <c r="W615">
        <f t="shared" si="394"/>
        <v>0.00031372811127961214</v>
      </c>
      <c r="X615" s="1">
        <f>+'Volcano Summary'!E$12*10^9/Q615/3600/24/365</f>
        <v>0</v>
      </c>
      <c r="Y615" s="3">
        <f t="shared" si="395"/>
        <v>4000</v>
      </c>
      <c r="Z615" s="1">
        <f>+Y615*'Volcano Summary'!B$19*'Volcano Summary'!B$20/1000</f>
        <v>162000000</v>
      </c>
      <c r="AA615" s="1">
        <f t="shared" si="380"/>
        <v>490357.8081702588</v>
      </c>
      <c r="AB615" s="3">
        <f t="shared" si="372"/>
        <v>136.21050226951635</v>
      </c>
      <c r="AC615" s="1">
        <f t="shared" si="396"/>
        <v>158506592.47080097</v>
      </c>
      <c r="AD615" s="36">
        <f t="shared" si="397"/>
        <v>44029.60901966695</v>
      </c>
      <c r="AE615" s="36">
        <f t="shared" si="406"/>
        <v>1834.5670424861228</v>
      </c>
      <c r="AG615" s="1">
        <f t="shared" si="381"/>
        <v>162000000000</v>
      </c>
      <c r="AH615" s="1">
        <f t="shared" si="398"/>
        <v>162000000</v>
      </c>
      <c r="AI615" s="1">
        <f t="shared" si="399"/>
        <v>162162000000</v>
      </c>
      <c r="AJ615" s="1">
        <f t="shared" si="400"/>
        <v>12409200000000</v>
      </c>
      <c r="AK615" s="1">
        <f t="shared" si="401"/>
        <v>12421609200000</v>
      </c>
      <c r="AL615" s="39">
        <f>+AJ615/('Volcano Summary'!C$8)*10^6</f>
        <v>861482.3779927444</v>
      </c>
      <c r="AM615" s="1">
        <f t="shared" si="382"/>
        <v>1834.5670424861228</v>
      </c>
    </row>
    <row r="616" spans="1:39" ht="12.75">
      <c r="A616" s="1">
        <f t="shared" si="392"/>
        <v>490357.8081702588</v>
      </c>
      <c r="B616" s="1">
        <f t="shared" si="393"/>
        <v>1840.1635603479508</v>
      </c>
      <c r="C616" s="1">
        <f t="shared" si="373"/>
        <v>320000</v>
      </c>
      <c r="D616" s="1">
        <f t="shared" si="383"/>
        <v>638.3076486422923</v>
      </c>
      <c r="E616" s="38">
        <f t="shared" si="375"/>
        <v>6739109856.636725</v>
      </c>
      <c r="F616" s="38">
        <f t="shared" si="376"/>
        <v>4332897429.080338</v>
      </c>
      <c r="G616" s="38">
        <f t="shared" si="377"/>
        <v>1926685001.5239499</v>
      </c>
      <c r="H616" s="19">
        <f t="shared" si="384"/>
        <v>0.0007833213358221877</v>
      </c>
      <c r="I616" s="50">
        <f t="shared" si="405"/>
        <v>0.018931866819459867</v>
      </c>
      <c r="J616" s="3">
        <f t="shared" si="385"/>
        <v>2.9829735206627053</v>
      </c>
      <c r="K616" s="12">
        <f t="shared" si="403"/>
        <v>0.6352678613884962</v>
      </c>
      <c r="L616" s="3">
        <f t="shared" si="386"/>
        <v>1003.7736250555903</v>
      </c>
      <c r="M616" s="12">
        <f t="shared" si="404"/>
        <v>0.6389318940826508</v>
      </c>
      <c r="N616" s="37">
        <f t="shared" si="387"/>
        <v>452662.122944245</v>
      </c>
      <c r="O616" s="1">
        <f t="shared" si="378"/>
        <v>547795.4793652719</v>
      </c>
      <c r="P616">
        <f t="shared" si="388"/>
        <v>740.1320688669501</v>
      </c>
      <c r="Q616" s="1">
        <f t="shared" si="389"/>
        <v>335029.7535524298</v>
      </c>
      <c r="R616" s="1">
        <f>+Q616*1000/'Material Properties'!AE$35</f>
        <v>287316964.4914182</v>
      </c>
      <c r="S616" s="1">
        <f t="shared" si="390"/>
        <v>897.8655140356818</v>
      </c>
      <c r="T616" s="1">
        <f t="shared" si="391"/>
        <v>366.1085009483472</v>
      </c>
      <c r="U616">
        <f t="shared" si="379"/>
        <v>2.3372483138223692E-05</v>
      </c>
      <c r="V616">
        <f>+'Material Properties'!AE$31+'Material Properties'!AE$33</f>
        <v>0.00029034311030761144</v>
      </c>
      <c r="W616">
        <f t="shared" si="394"/>
        <v>0.0003137155934458351</v>
      </c>
      <c r="X616" s="1">
        <f>+'Volcano Summary'!E$12*10^9/Q616/3600/24/365</f>
        <v>0</v>
      </c>
      <c r="Y616" s="3">
        <f t="shared" si="395"/>
        <v>4000</v>
      </c>
      <c r="Z616" s="1">
        <f>+Y616*'Volcano Summary'!B$19*'Volcano Summary'!B$20/1000</f>
        <v>162000000</v>
      </c>
      <c r="AA616" s="1">
        <f t="shared" si="380"/>
        <v>483539.1432619376</v>
      </c>
      <c r="AB616" s="3">
        <f t="shared" si="372"/>
        <v>134.31642868387155</v>
      </c>
      <c r="AC616" s="1">
        <f t="shared" si="396"/>
        <v>158990131.6140629</v>
      </c>
      <c r="AD616" s="36">
        <f t="shared" si="397"/>
        <v>44163.92544835082</v>
      </c>
      <c r="AE616" s="36">
        <f t="shared" si="406"/>
        <v>1840.1635603479508</v>
      </c>
      <c r="AG616" s="1">
        <f t="shared" si="381"/>
        <v>162000000000</v>
      </c>
      <c r="AH616" s="1">
        <f t="shared" si="398"/>
        <v>162000000</v>
      </c>
      <c r="AI616" s="1">
        <f t="shared" si="399"/>
        <v>162162000000</v>
      </c>
      <c r="AJ616" s="1">
        <f t="shared" si="400"/>
        <v>12571200000000</v>
      </c>
      <c r="AK616" s="1">
        <f t="shared" si="401"/>
        <v>12583771200000</v>
      </c>
      <c r="AL616" s="39">
        <f>+AJ616/('Volcano Summary'!C$8)*10^6</f>
        <v>872728.8842328587</v>
      </c>
      <c r="AM616" s="1">
        <f t="shared" si="382"/>
        <v>1840.1635603479508</v>
      </c>
    </row>
    <row r="617" spans="1:39" ht="12.75">
      <c r="A617" s="1">
        <f t="shared" si="392"/>
        <v>483539.1432619376</v>
      </c>
      <c r="B617" s="1">
        <f t="shared" si="393"/>
        <v>1845.6832390461793</v>
      </c>
      <c r="C617" s="1">
        <f t="shared" si="373"/>
        <v>324000</v>
      </c>
      <c r="D617" s="1">
        <f t="shared" si="383"/>
        <v>642.2846818149976</v>
      </c>
      <c r="E617" s="38">
        <f t="shared" si="375"/>
        <v>6781098486.275361</v>
      </c>
      <c r="F617" s="38">
        <f t="shared" si="376"/>
        <v>4359893935.930969</v>
      </c>
      <c r="G617" s="38">
        <f t="shared" si="377"/>
        <v>1938689385.5865767</v>
      </c>
      <c r="H617" s="19">
        <f t="shared" si="384"/>
        <v>0.0007784710022774901</v>
      </c>
      <c r="I617" s="50">
        <f t="shared" si="405"/>
        <v>0.01891543935234611</v>
      </c>
      <c r="J617" s="3">
        <f t="shared" si="385"/>
        <v>2.9725121031139956</v>
      </c>
      <c r="K617" s="12">
        <f t="shared" si="403"/>
        <v>0.6348180204339017</v>
      </c>
      <c r="L617" s="3">
        <f t="shared" si="386"/>
        <v>1003.0628406555973</v>
      </c>
      <c r="M617" s="12">
        <f t="shared" si="404"/>
        <v>0.638890048412456</v>
      </c>
      <c r="N617" s="37">
        <f t="shared" si="387"/>
        <v>458320.3994810481</v>
      </c>
      <c r="O617" s="1">
        <f t="shared" si="378"/>
        <v>549334.1172571545</v>
      </c>
      <c r="P617">
        <f t="shared" si="388"/>
        <v>741.1707746917403</v>
      </c>
      <c r="Q617" s="1">
        <f t="shared" si="389"/>
        <v>339693.6855403963</v>
      </c>
      <c r="R617" s="1">
        <f>+Q617*1000/'Material Properties'!AE$35</f>
        <v>291316689.19398034</v>
      </c>
      <c r="S617" s="1">
        <f t="shared" si="390"/>
        <v>899.1255839320381</v>
      </c>
      <c r="T617" s="1">
        <f t="shared" si="391"/>
        <v>366.30047377980486</v>
      </c>
      <c r="U617">
        <f t="shared" si="379"/>
        <v>2.336026397706615E-05</v>
      </c>
      <c r="V617">
        <f>+'Material Properties'!AE$31+'Material Properties'!AE$33</f>
        <v>0.00029034311030761144</v>
      </c>
      <c r="W617">
        <f t="shared" si="394"/>
        <v>0.0003137033742846776</v>
      </c>
      <c r="X617" s="1">
        <f>+'Volcano Summary'!E$12*10^9/Q617/3600/24/365</f>
        <v>0</v>
      </c>
      <c r="Y617" s="3">
        <f t="shared" si="395"/>
        <v>4000</v>
      </c>
      <c r="Z617" s="1">
        <f>+Y617*'Volcano Summary'!B$19*'Volcano Summary'!B$20/1000</f>
        <v>162000000</v>
      </c>
      <c r="AA617" s="1">
        <f t="shared" si="380"/>
        <v>476900.2395269281</v>
      </c>
      <c r="AB617" s="3">
        <f t="shared" si="372"/>
        <v>132.47228875748004</v>
      </c>
      <c r="AC617" s="1">
        <f t="shared" si="396"/>
        <v>159467031.85358983</v>
      </c>
      <c r="AD617" s="36">
        <f t="shared" si="397"/>
        <v>44296.3977371083</v>
      </c>
      <c r="AE617" s="36">
        <f t="shared" si="406"/>
        <v>1845.6832390461793</v>
      </c>
      <c r="AG617" s="1">
        <f t="shared" si="381"/>
        <v>162000000000</v>
      </c>
      <c r="AH617" s="1">
        <f t="shared" si="398"/>
        <v>162000000</v>
      </c>
      <c r="AI617" s="1">
        <f t="shared" si="399"/>
        <v>162162000000</v>
      </c>
      <c r="AJ617" s="1">
        <f t="shared" si="400"/>
        <v>12733200000000</v>
      </c>
      <c r="AK617" s="1">
        <f t="shared" si="401"/>
        <v>12745933200000</v>
      </c>
      <c r="AL617" s="39">
        <f>+AJ617/('Volcano Summary'!C$8)*10^6</f>
        <v>883975.3904729728</v>
      </c>
      <c r="AM617" s="1">
        <f t="shared" si="382"/>
        <v>1845.6832390461793</v>
      </c>
    </row>
    <row r="618" spans="1:39" ht="12.75">
      <c r="A618" s="1">
        <f t="shared" si="392"/>
        <v>476900.2395269281</v>
      </c>
      <c r="B618" s="1">
        <f t="shared" si="393"/>
        <v>1851.1280793728986</v>
      </c>
      <c r="C618" s="1">
        <f t="shared" si="373"/>
        <v>328000</v>
      </c>
      <c r="D618" s="1">
        <f t="shared" si="383"/>
        <v>646.2372402400943</v>
      </c>
      <c r="E618" s="38">
        <f t="shared" si="375"/>
        <v>6822828716.984893</v>
      </c>
      <c r="F618" s="38">
        <f t="shared" si="376"/>
        <v>4386724305.698304</v>
      </c>
      <c r="G618" s="38">
        <f t="shared" si="377"/>
        <v>1950619894.4117165</v>
      </c>
      <c r="H618" s="19">
        <f t="shared" si="384"/>
        <v>0.0007737096670786672</v>
      </c>
      <c r="I618" s="50">
        <f t="shared" si="405"/>
        <v>0.018899241416525405</v>
      </c>
      <c r="J618" s="3">
        <f t="shared" si="385"/>
        <v>2.962252578441923</v>
      </c>
      <c r="K618" s="12">
        <f t="shared" si="403"/>
        <v>0.6343768608730026</v>
      </c>
      <c r="L618" s="3">
        <f t="shared" si="386"/>
        <v>1002.365773546451</v>
      </c>
      <c r="M618" s="12">
        <f t="shared" si="404"/>
        <v>0.6388490103137677</v>
      </c>
      <c r="N618" s="37">
        <f t="shared" si="387"/>
        <v>463978.6760178511</v>
      </c>
      <c r="O618" s="1">
        <f t="shared" si="378"/>
        <v>550853.6163295266</v>
      </c>
      <c r="P618">
        <f t="shared" si="388"/>
        <v>742.1951335932664</v>
      </c>
      <c r="Q618" s="1">
        <f t="shared" si="389"/>
        <v>344362.71543149586</v>
      </c>
      <c r="R618" s="1">
        <f>+Q618*1000/'Material Properties'!AE$35</f>
        <v>295320785.78900254</v>
      </c>
      <c r="S618" s="1">
        <f t="shared" si="390"/>
        <v>900.3682493567151</v>
      </c>
      <c r="T618" s="1">
        <f t="shared" si="391"/>
        <v>366.4881206775144</v>
      </c>
      <c r="U618">
        <f t="shared" si="379"/>
        <v>2.3348332505093436E-05</v>
      </c>
      <c r="V618">
        <f>+'Material Properties'!AE$31+'Material Properties'!AE$33</f>
        <v>0.00029034311030761144</v>
      </c>
      <c r="W618">
        <f t="shared" si="394"/>
        <v>0.00031369144281270485</v>
      </c>
      <c r="X618" s="1">
        <f>+'Volcano Summary'!E$12*10^9/Q618/3600/24/365</f>
        <v>0</v>
      </c>
      <c r="Y618" s="3">
        <f t="shared" si="395"/>
        <v>4000</v>
      </c>
      <c r="Z618" s="1">
        <f>+Y618*'Volcano Summary'!B$19*'Volcano Summary'!B$20/1000</f>
        <v>162000000</v>
      </c>
      <c r="AA618" s="1">
        <f t="shared" si="380"/>
        <v>470434.20422855474</v>
      </c>
      <c r="AB618" s="3">
        <f t="shared" si="372"/>
        <v>130.6761678412652</v>
      </c>
      <c r="AC618" s="1">
        <f t="shared" si="396"/>
        <v>159937466.05781838</v>
      </c>
      <c r="AD618" s="36">
        <f t="shared" si="397"/>
        <v>44427.07390494957</v>
      </c>
      <c r="AE618" s="36">
        <f t="shared" si="406"/>
        <v>1851.1280793728986</v>
      </c>
      <c r="AG618" s="1">
        <f t="shared" si="381"/>
        <v>162000000000</v>
      </c>
      <c r="AH618" s="1">
        <f t="shared" si="398"/>
        <v>162000000</v>
      </c>
      <c r="AI618" s="1">
        <f t="shared" si="399"/>
        <v>162162000000</v>
      </c>
      <c r="AJ618" s="1">
        <f t="shared" si="400"/>
        <v>12895200000000</v>
      </c>
      <c r="AK618" s="1">
        <f t="shared" si="401"/>
        <v>12908095200000</v>
      </c>
      <c r="AL618" s="39">
        <f>+AJ618/('Volcano Summary'!C$8)*10^6</f>
        <v>895221.896713087</v>
      </c>
      <c r="AM618" s="1">
        <f t="shared" si="382"/>
        <v>1851.1280793728986</v>
      </c>
    </row>
    <row r="619" spans="1:39" ht="12.75">
      <c r="A619" s="1">
        <f t="shared" si="392"/>
        <v>470434.20422855474</v>
      </c>
      <c r="B619" s="1">
        <f t="shared" si="393"/>
        <v>1856.500006329975</v>
      </c>
      <c r="C619" s="1">
        <f t="shared" si="373"/>
        <v>332000</v>
      </c>
      <c r="D619" s="1">
        <f t="shared" si="383"/>
        <v>650.1657702863739</v>
      </c>
      <c r="E619" s="38">
        <f t="shared" si="375"/>
        <v>6864305261.427514</v>
      </c>
      <c r="F619" s="38">
        <f t="shared" si="376"/>
        <v>4413391568.379233</v>
      </c>
      <c r="G619" s="38">
        <f t="shared" si="377"/>
        <v>1962477875.3309531</v>
      </c>
      <c r="H619" s="19">
        <f t="shared" si="384"/>
        <v>0.0007690346413957913</v>
      </c>
      <c r="I619" s="50">
        <f t="shared" si="405"/>
        <v>0.018883267040455436</v>
      </c>
      <c r="J619" s="3">
        <f t="shared" si="385"/>
        <v>2.9521886496837615</v>
      </c>
      <c r="K619" s="12">
        <f t="shared" si="403"/>
        <v>0.6339441119364017</v>
      </c>
      <c r="L619" s="3">
        <f t="shared" si="386"/>
        <v>1001.68199589102</v>
      </c>
      <c r="M619" s="12">
        <f t="shared" si="404"/>
        <v>0.6388087545987351</v>
      </c>
      <c r="N619" s="37">
        <f t="shared" si="387"/>
        <v>469636.95255465416</v>
      </c>
      <c r="O619" s="1">
        <f t="shared" si="378"/>
        <v>552354.407542547</v>
      </c>
      <c r="P619">
        <f t="shared" si="388"/>
        <v>743.2054948280098</v>
      </c>
      <c r="Q619" s="1">
        <f t="shared" si="389"/>
        <v>349036.76371290034</v>
      </c>
      <c r="R619" s="1">
        <f>+Q619*1000/'Material Properties'!AE$35</f>
        <v>299329186.08736384</v>
      </c>
      <c r="S619" s="1">
        <f t="shared" si="390"/>
        <v>901.5939339980838</v>
      </c>
      <c r="T619" s="1">
        <f t="shared" si="391"/>
        <v>366.67159256320497</v>
      </c>
      <c r="U619">
        <f t="shared" si="379"/>
        <v>2.3336678278599578E-05</v>
      </c>
      <c r="V619">
        <f>+'Material Properties'!AE$31+'Material Properties'!AE$33</f>
        <v>0.00029034311030761144</v>
      </c>
      <c r="W619">
        <f t="shared" si="394"/>
        <v>0.000313679788586211</v>
      </c>
      <c r="X619" s="1">
        <f>+'Volcano Summary'!E$12*10^9/Q619/3600/24/365</f>
        <v>0</v>
      </c>
      <c r="Y619" s="3">
        <f t="shared" si="395"/>
        <v>4000</v>
      </c>
      <c r="Z619" s="1">
        <f>+Y619*'Volcano Summary'!B$19*'Volcano Summary'!B$20/1000</f>
        <v>162000000</v>
      </c>
      <c r="AA619" s="1">
        <f t="shared" si="380"/>
        <v>464134.48909139226</v>
      </c>
      <c r="AB619" s="3">
        <f t="shared" si="372"/>
        <v>128.92624696983117</v>
      </c>
      <c r="AC619" s="1">
        <f t="shared" si="396"/>
        <v>160401600.54690978</v>
      </c>
      <c r="AD619" s="36">
        <f t="shared" si="397"/>
        <v>44556.0001519194</v>
      </c>
      <c r="AE619" s="36">
        <f t="shared" si="406"/>
        <v>1856.500006329975</v>
      </c>
      <c r="AG619" s="1">
        <f t="shared" si="381"/>
        <v>162000000000</v>
      </c>
      <c r="AH619" s="1">
        <f t="shared" si="398"/>
        <v>162000000</v>
      </c>
      <c r="AI619" s="1">
        <f t="shared" si="399"/>
        <v>162162000000</v>
      </c>
      <c r="AJ619" s="1">
        <f t="shared" si="400"/>
        <v>13057200000000</v>
      </c>
      <c r="AK619" s="1">
        <f t="shared" si="401"/>
        <v>13070257200000</v>
      </c>
      <c r="AL619" s="39">
        <f>+AJ619/('Volcano Summary'!C$8)*10^6</f>
        <v>906468.4029532011</v>
      </c>
      <c r="AM619" s="1">
        <f t="shared" si="382"/>
        <v>1856.500006329975</v>
      </c>
    </row>
    <row r="620" spans="1:39" ht="12.75">
      <c r="A620" s="1">
        <f t="shared" si="392"/>
        <v>464134.48909139226</v>
      </c>
      <c r="B620" s="1">
        <f t="shared" si="393"/>
        <v>1861.8008728714774</v>
      </c>
      <c r="C620" s="1">
        <f t="shared" si="373"/>
        <v>336000</v>
      </c>
      <c r="D620" s="1">
        <f t="shared" si="383"/>
        <v>654.0707049173008</v>
      </c>
      <c r="E620" s="38">
        <f t="shared" si="375"/>
        <v>6905532690.734957</v>
      </c>
      <c r="F620" s="38">
        <f t="shared" si="376"/>
        <v>4439898662.973914</v>
      </c>
      <c r="G620" s="38">
        <f t="shared" si="377"/>
        <v>1974264635.2128708</v>
      </c>
      <c r="H620" s="19">
        <f t="shared" si="384"/>
        <v>0.0007644433487710154</v>
      </c>
      <c r="I620" s="50">
        <f t="shared" si="405"/>
        <v>0.018867510477898548</v>
      </c>
      <c r="J620" s="3">
        <f t="shared" si="385"/>
        <v>2.9423142892696985</v>
      </c>
      <c r="K620" s="12">
        <f t="shared" si="403"/>
        <v>0.633519514438597</v>
      </c>
      <c r="L620" s="3">
        <f t="shared" si="386"/>
        <v>1001.0110981556469</v>
      </c>
      <c r="M620" s="12">
        <f t="shared" si="404"/>
        <v>0.6387692571570788</v>
      </c>
      <c r="N620" s="37">
        <f t="shared" si="387"/>
        <v>475295.2290914574</v>
      </c>
      <c r="O620" s="1">
        <f t="shared" si="378"/>
        <v>553836.9076198938</v>
      </c>
      <c r="P620">
        <f t="shared" si="388"/>
        <v>744.2021953877144</v>
      </c>
      <c r="Q620" s="1">
        <f t="shared" si="389"/>
        <v>353715.75294716924</v>
      </c>
      <c r="R620" s="1">
        <f>+Q620*1000/'Material Properties'!AE$35</f>
        <v>303341823.6797673</v>
      </c>
      <c r="S620" s="1">
        <f t="shared" si="390"/>
        <v>902.8030466659742</v>
      </c>
      <c r="T620" s="1">
        <f t="shared" si="391"/>
        <v>366.85103330443474</v>
      </c>
      <c r="U620">
        <f t="shared" si="379"/>
        <v>2.332529136063357E-05</v>
      </c>
      <c r="V620">
        <f>+'Material Properties'!AE$31+'Material Properties'!AE$33</f>
        <v>0.00029034311030761144</v>
      </c>
      <c r="W620">
        <f t="shared" si="394"/>
        <v>0.000313668401668245</v>
      </c>
      <c r="X620" s="1">
        <f>+'Volcano Summary'!E$12*10^9/Q620/3600/24/365</f>
        <v>0</v>
      </c>
      <c r="Y620" s="3">
        <f t="shared" si="395"/>
        <v>4000</v>
      </c>
      <c r="Z620" s="1">
        <f>+Y620*'Volcano Summary'!B$19*'Volcano Summary'!B$20/1000</f>
        <v>162000000</v>
      </c>
      <c r="AA620" s="1">
        <f t="shared" si="380"/>
        <v>457994.86918581265</v>
      </c>
      <c r="AB620" s="3">
        <f t="shared" si="372"/>
        <v>127.22079699605906</v>
      </c>
      <c r="AC620" s="1">
        <f t="shared" si="396"/>
        <v>160859595.41609558</v>
      </c>
      <c r="AD620" s="36">
        <f t="shared" si="397"/>
        <v>44683.220948915456</v>
      </c>
      <c r="AE620" s="36">
        <f t="shared" si="406"/>
        <v>1861.8008728714774</v>
      </c>
      <c r="AG620" s="1">
        <f t="shared" si="381"/>
        <v>162000000000</v>
      </c>
      <c r="AH620" s="1">
        <f t="shared" si="398"/>
        <v>162000000</v>
      </c>
      <c r="AI620" s="1">
        <f t="shared" si="399"/>
        <v>162162000000</v>
      </c>
      <c r="AJ620" s="1">
        <f t="shared" si="400"/>
        <v>13219200000000</v>
      </c>
      <c r="AK620" s="1">
        <f t="shared" si="401"/>
        <v>13232419200000</v>
      </c>
      <c r="AL620" s="39">
        <f>+AJ620/('Volcano Summary'!C$8)*10^6</f>
        <v>917714.9091933152</v>
      </c>
      <c r="AM620" s="1">
        <f t="shared" si="382"/>
        <v>1861.8008728714774</v>
      </c>
    </row>
    <row r="621" spans="1:39" ht="12.75">
      <c r="A621" s="1">
        <f aca="true" t="shared" si="407" ref="A621:A638">+AA620</f>
        <v>457994.86918581265</v>
      </c>
      <c r="B621" s="1">
        <f aca="true" t="shared" si="408" ref="B621:B638">+AE621</f>
        <v>1867.032463419395</v>
      </c>
      <c r="C621" s="1">
        <f t="shared" si="373"/>
        <v>340000</v>
      </c>
      <c r="D621" s="1">
        <f t="shared" si="383"/>
        <v>657.9524642479541</v>
      </c>
      <c r="E621" s="38">
        <f aca="true" t="shared" si="409" ref="E621:E638">+$D621*1000*A$7*$F$11/$F$10</f>
        <v>6946515440.388578</v>
      </c>
      <c r="F621" s="38">
        <f aca="true" t="shared" si="410" ref="F621:F638">+$D621*1000*C$7*$F$11/$F$10</f>
        <v>4466248441.26636</v>
      </c>
      <c r="G621" s="38">
        <f aca="true" t="shared" si="411" ref="G621:G638">+$D621*1000*D$7*$F$11/$F$10</f>
        <v>1985981442.1441424</v>
      </c>
      <c r="H621" s="19">
        <f aca="true" t="shared" si="412" ref="H621:H638">+(H$13/1000)/D621</f>
        <v>0.0007599333191517183</v>
      </c>
      <c r="I621" s="50">
        <f t="shared" si="405"/>
        <v>0.018851966196848126</v>
      </c>
      <c r="J621" s="3">
        <f aca="true" t="shared" si="413" ref="J621:J638">+J$13*I621/D621+1.5</f>
        <v>2.932623724450679</v>
      </c>
      <c r="K621" s="12">
        <f t="shared" si="403"/>
        <v>0.6331028201513791</v>
      </c>
      <c r="L621" s="3">
        <f t="shared" si="386"/>
        <v>1000.3526881200652</v>
      </c>
      <c r="M621" s="12">
        <f aca="true" t="shared" si="414" ref="M621:M638">0.635-(2-J621)*(0.635-0.631)</f>
        <v>0.6387304948978028</v>
      </c>
      <c r="N621" s="37">
        <f aca="true" t="shared" si="415" ref="N621:N638">1.111*10^-6*(D621*1000)^2</f>
        <v>480953.5056282605</v>
      </c>
      <c r="O621" s="1">
        <f aca="true" t="shared" si="416" ref="O621:O638">+L621/J621/P$9</f>
        <v>555301.5196706272</v>
      </c>
      <c r="P621">
        <f t="shared" si="388"/>
        <v>745.1855605623523</v>
      </c>
      <c r="Q621" s="1">
        <f aca="true" t="shared" si="417" ref="Q621:Q638">+P621*N621/1000</f>
        <v>358399.60769602377</v>
      </c>
      <c r="R621" s="1">
        <f>+Q621*1000/'Material Properties'!AE$35</f>
        <v>307358633.8713702</v>
      </c>
      <c r="S621" s="1">
        <f aca="true" t="shared" si="418" ref="S621:S638">+R621/C621</f>
        <v>903.9959819746182</v>
      </c>
      <c r="T621" s="1">
        <f aca="true" t="shared" si="419" ref="T621:T638">+L621-L621*K621</f>
        <v>367.026580125239</v>
      </c>
      <c r="U621">
        <f aca="true" t="shared" si="420" ref="U621:U638">+I$3*0.1*0.9/(T621+0.9)</f>
        <v>2.331416229042261E-05</v>
      </c>
      <c r="V621">
        <f>+'Material Properties'!AE$31+'Material Properties'!AE$33</f>
        <v>0.00029034311030761144</v>
      </c>
      <c r="W621">
        <f aca="true" t="shared" si="421" ref="W621:W638">+V621+U621</f>
        <v>0.00031365727259803405</v>
      </c>
      <c r="X621" s="1">
        <f>+'Volcano Summary'!E$12*10^9/Q621/3600/24/365</f>
        <v>0</v>
      </c>
      <c r="Y621" s="3">
        <f aca="true" t="shared" si="422" ref="Y621:Y638">+C622-C621</f>
        <v>4000</v>
      </c>
      <c r="Z621" s="1">
        <f>+Y621*'Volcano Summary'!B$19*'Volcano Summary'!B$20/1000</f>
        <v>162000000</v>
      </c>
      <c r="AA621" s="1">
        <f aca="true" t="shared" si="423" ref="AA621:AA638">Z621/(AA$12/100*Q621)</f>
        <v>452009.4233401062</v>
      </c>
      <c r="AB621" s="3">
        <f t="shared" si="372"/>
        <v>125.5581731500295</v>
      </c>
      <c r="AC621" s="1">
        <f aca="true" t="shared" si="424" ref="AC621:AC638">+AC620+AA621</f>
        <v>161311604.8394357</v>
      </c>
      <c r="AD621" s="36">
        <f aca="true" t="shared" si="425" ref="AD621:AD638">+AD620+AB621</f>
        <v>44808.77912206548</v>
      </c>
      <c r="AE621" s="36">
        <f t="shared" si="406"/>
        <v>1867.032463419395</v>
      </c>
      <c r="AG621" s="1">
        <f aca="true" t="shared" si="426" ref="AG621:AG638">+AA621*Q621</f>
        <v>162000000000</v>
      </c>
      <c r="AH621" s="1">
        <f aca="true" t="shared" si="427" ref="AH621:AH638">+Z621</f>
        <v>162000000</v>
      </c>
      <c r="AI621" s="1">
        <f aca="true" t="shared" si="428" ref="AI621:AI638">+AH621+AG621</f>
        <v>162162000000</v>
      </c>
      <c r="AJ621" s="1">
        <f aca="true" t="shared" si="429" ref="AJ621:AJ638">+AJ620+AG621</f>
        <v>13381200000000</v>
      </c>
      <c r="AK621" s="1">
        <f aca="true" t="shared" si="430" ref="AK621:AK638">+AK620+AI621</f>
        <v>13394581200000</v>
      </c>
      <c r="AL621" s="39">
        <f>+AJ621/('Volcano Summary'!C$8)*10^6</f>
        <v>928961.4154334294</v>
      </c>
      <c r="AM621" s="1">
        <f aca="true" t="shared" si="431" ref="AM621:AM638">+B621</f>
        <v>1867.032463419395</v>
      </c>
    </row>
    <row r="622" spans="1:39" ht="12.75">
      <c r="A622" s="1">
        <f t="shared" si="407"/>
        <v>452009.4233401062</v>
      </c>
      <c r="B622" s="1">
        <f t="shared" si="408"/>
        <v>1872.1964971688533</v>
      </c>
      <c r="C622" s="1">
        <f t="shared" si="373"/>
        <v>344000</v>
      </c>
      <c r="D622" s="1">
        <f t="shared" si="383"/>
        <v>661.8114560725705</v>
      </c>
      <c r="E622" s="38">
        <f t="shared" si="409"/>
        <v>6987257815.789012</v>
      </c>
      <c r="F622" s="38">
        <f t="shared" si="410"/>
        <v>4492443671.405444</v>
      </c>
      <c r="G622" s="38">
        <f t="shared" si="411"/>
        <v>1997629527.0218759</v>
      </c>
      <c r="H622" s="19">
        <f t="shared" si="412"/>
        <v>0.0007555021833063778</v>
      </c>
      <c r="I622" s="50">
        <f t="shared" si="405"/>
        <v>0.018836628869122594</v>
      </c>
      <c r="J622" s="3">
        <f t="shared" si="413"/>
        <v>2.9231114236754063</v>
      </c>
      <c r="K622" s="12">
        <f t="shared" si="403"/>
        <v>0.6326937912180424</v>
      </c>
      <c r="L622" s="3">
        <f t="shared" si="386"/>
        <v>999.7063899518081</v>
      </c>
      <c r="M622" s="12">
        <f t="shared" si="414"/>
        <v>0.6386924456947016</v>
      </c>
      <c r="N622" s="37">
        <f t="shared" si="415"/>
        <v>486611.78216506337</v>
      </c>
      <c r="O622" s="1">
        <f t="shared" si="416"/>
        <v>556748.6337772806</v>
      </c>
      <c r="P622">
        <f t="shared" si="388"/>
        <v>746.1559044712309</v>
      </c>
      <c r="Q622" s="1">
        <f t="shared" si="417"/>
        <v>363088.25444773043</v>
      </c>
      <c r="R622" s="1">
        <f>+Q622*1000/'Material Properties'!AE$35</f>
        <v>311379553.61950856</v>
      </c>
      <c r="S622" s="1">
        <f t="shared" si="418"/>
        <v>905.1731209869434</v>
      </c>
      <c r="T622" s="1">
        <f t="shared" si="419"/>
        <v>367.198363988296</v>
      </c>
      <c r="U622">
        <f t="shared" si="420"/>
        <v>2.330328205499099E-05</v>
      </c>
      <c r="V622">
        <f>+'Material Properties'!AE$31+'Material Properties'!AE$33</f>
        <v>0.00029034311030761144</v>
      </c>
      <c r="W622">
        <f t="shared" si="421"/>
        <v>0.0003136463923626024</v>
      </c>
      <c r="X622" s="1">
        <f>+'Volcano Summary'!E$12*10^9/Q622/3600/24/365</f>
        <v>0</v>
      </c>
      <c r="Y622" s="3">
        <f t="shared" si="422"/>
        <v>4000</v>
      </c>
      <c r="Z622" s="1">
        <f>+Y622*'Volcano Summary'!B$19*'Volcano Summary'!B$20/1000</f>
        <v>162000000</v>
      </c>
      <c r="AA622" s="1">
        <f t="shared" si="423"/>
        <v>446172.5159532012</v>
      </c>
      <c r="AB622" s="3">
        <f t="shared" si="372"/>
        <v>123.93680998700034</v>
      </c>
      <c r="AC622" s="1">
        <f t="shared" si="424"/>
        <v>161757777.3553889</v>
      </c>
      <c r="AD622" s="36">
        <f t="shared" si="425"/>
        <v>44932.71593205248</v>
      </c>
      <c r="AE622" s="36">
        <f t="shared" si="406"/>
        <v>1872.1964971688533</v>
      </c>
      <c r="AG622" s="1">
        <f t="shared" si="426"/>
        <v>162000000000</v>
      </c>
      <c r="AH622" s="1">
        <f t="shared" si="427"/>
        <v>162000000</v>
      </c>
      <c r="AI622" s="1">
        <f t="shared" si="428"/>
        <v>162162000000</v>
      </c>
      <c r="AJ622" s="1">
        <f t="shared" si="429"/>
        <v>13543200000000</v>
      </c>
      <c r="AK622" s="1">
        <f t="shared" si="430"/>
        <v>13556743200000</v>
      </c>
      <c r="AL622" s="39">
        <f>+AJ622/('Volcano Summary'!C$8)*10^6</f>
        <v>940207.9216735435</v>
      </c>
      <c r="AM622" s="1">
        <f t="shared" si="431"/>
        <v>1872.1964971688533</v>
      </c>
    </row>
    <row r="623" spans="1:39" ht="12.75">
      <c r="A623" s="55">
        <f t="shared" si="407"/>
        <v>446172.5159532012</v>
      </c>
      <c r="B623" s="55">
        <f t="shared" si="408"/>
        <v>1877.2946311977064</v>
      </c>
      <c r="C623" s="55">
        <f t="shared" si="373"/>
        <v>348000</v>
      </c>
      <c r="D623" s="55">
        <f t="shared" si="383"/>
        <v>665.6480763645582</v>
      </c>
      <c r="E623" s="56">
        <f t="shared" si="409"/>
        <v>7027763997.535232</v>
      </c>
      <c r="F623" s="56">
        <f t="shared" si="410"/>
        <v>4518487041.299052</v>
      </c>
      <c r="G623" s="56">
        <f t="shared" si="411"/>
        <v>2009210085.0628738</v>
      </c>
      <c r="H623" s="28">
        <f t="shared" si="412"/>
        <v>0.0007511476675944947</v>
      </c>
      <c r="I623" s="57">
        <f t="shared" si="405"/>
        <v>0.018821493360579596</v>
      </c>
      <c r="J623" s="20">
        <f t="shared" si="413"/>
        <v>2.913772083844463</v>
      </c>
      <c r="K623" s="58">
        <f t="shared" si="403"/>
        <v>0.6322921996053118</v>
      </c>
      <c r="L623" s="20">
        <f t="shared" si="386"/>
        <v>999.071843340208</v>
      </c>
      <c r="M623" s="58">
        <f t="shared" si="414"/>
        <v>0.6386550883353779</v>
      </c>
      <c r="N623" s="59">
        <f t="shared" si="415"/>
        <v>492270.05870186654</v>
      </c>
      <c r="O623" s="55">
        <f t="shared" si="416"/>
        <v>558178.6275523666</v>
      </c>
      <c r="P623" s="29">
        <f t="shared" si="388"/>
        <v>747.1135305643759</v>
      </c>
      <c r="Q623" s="55">
        <f t="shared" si="417"/>
        <v>367781.6215478841</v>
      </c>
      <c r="R623" s="55">
        <f>+Q623*1000/'Material Properties'!AE$35</f>
        <v>315404521.47433823</v>
      </c>
      <c r="S623" s="55">
        <f t="shared" si="418"/>
        <v>906.334831822811</v>
      </c>
      <c r="T623" s="55">
        <f t="shared" si="419"/>
        <v>367.3665099508944</v>
      </c>
      <c r="U623" s="29">
        <f t="shared" si="420"/>
        <v>2.329264206279251E-05</v>
      </c>
      <c r="V623" s="29">
        <f>+'Material Properties'!AE$31+'Material Properties'!AE$33</f>
        <v>0.00029034311030761144</v>
      </c>
      <c r="W623" s="29">
        <f t="shared" si="421"/>
        <v>0.000313635752370404</v>
      </c>
      <c r="X623" s="55">
        <f>+'Volcano Summary'!E$12*10^9/Q623/3600/24/365</f>
        <v>0</v>
      </c>
      <c r="Y623" s="20">
        <f t="shared" si="422"/>
        <v>4000</v>
      </c>
      <c r="Z623" s="55">
        <f>+Y623*'Volcano Summary'!B$19*'Volcano Summary'!B$20/1000</f>
        <v>162000000</v>
      </c>
      <c r="AA623" s="55">
        <f t="shared" si="423"/>
        <v>440478.78009289835</v>
      </c>
      <c r="AB623" s="20">
        <f t="shared" si="372"/>
        <v>122.35521669247176</v>
      </c>
      <c r="AC623" s="55">
        <f t="shared" si="424"/>
        <v>162198256.1354818</v>
      </c>
      <c r="AD623" s="60">
        <f t="shared" si="425"/>
        <v>45055.07114874495</v>
      </c>
      <c r="AE623" s="60">
        <f t="shared" si="406"/>
        <v>1877.2946311977064</v>
      </c>
      <c r="AF623" s="29"/>
      <c r="AG623" s="55">
        <f t="shared" si="426"/>
        <v>162000000000</v>
      </c>
      <c r="AH623" s="55">
        <f t="shared" si="427"/>
        <v>162000000</v>
      </c>
      <c r="AI623" s="55">
        <f t="shared" si="428"/>
        <v>162162000000</v>
      </c>
      <c r="AJ623" s="55">
        <f t="shared" si="429"/>
        <v>13705200000000</v>
      </c>
      <c r="AK623" s="55">
        <f t="shared" si="430"/>
        <v>13718905200000</v>
      </c>
      <c r="AL623" s="61">
        <f>+AJ623/('Volcano Summary'!C$8)*10^6</f>
        <v>951454.4279136577</v>
      </c>
      <c r="AM623" s="55">
        <f t="shared" si="431"/>
        <v>1877.2946311977064</v>
      </c>
    </row>
    <row r="624" spans="1:39" ht="12.75">
      <c r="A624" s="1">
        <f t="shared" si="407"/>
        <v>440478.78009289835</v>
      </c>
      <c r="B624" s="1">
        <f t="shared" si="408"/>
        <v>1882.3284633941785</v>
      </c>
      <c r="C624" s="1">
        <f t="shared" si="373"/>
        <v>352000</v>
      </c>
      <c r="D624" s="1">
        <f t="shared" si="383"/>
        <v>669.4627097507204</v>
      </c>
      <c r="E624" s="38">
        <f t="shared" si="409"/>
        <v>7068038046.43128</v>
      </c>
      <c r="F624" s="38">
        <f t="shared" si="410"/>
        <v>4544381161.83316</v>
      </c>
      <c r="G624" s="38">
        <f t="shared" si="411"/>
        <v>2020724277.2350407</v>
      </c>
      <c r="H624" s="19">
        <f t="shared" si="412"/>
        <v>0.0007468675890643392</v>
      </c>
      <c r="I624" s="50">
        <f t="shared" si="405"/>
        <v>0.018806554721906687</v>
      </c>
      <c r="J624" s="3">
        <f t="shared" si="413"/>
        <v>2.904600618375701</v>
      </c>
      <c r="K624" s="12">
        <f t="shared" si="403"/>
        <v>0.631897826590155</v>
      </c>
      <c r="L624" s="3">
        <f t="shared" si="386"/>
        <v>998.4487026855198</v>
      </c>
      <c r="M624" s="12">
        <f t="shared" si="414"/>
        <v>0.6386184024735028</v>
      </c>
      <c r="N624" s="37">
        <f t="shared" si="415"/>
        <v>497928.33523866965</v>
      </c>
      <c r="O624" s="1">
        <f t="shared" si="416"/>
        <v>559591.8666653276</v>
      </c>
      <c r="P624">
        <f t="shared" si="388"/>
        <v>748.0587320961688</v>
      </c>
      <c r="Q624" s="1">
        <f t="shared" si="417"/>
        <v>372479.63913339534</v>
      </c>
      <c r="R624" s="1">
        <f>+Q624*1000/'Material Properties'!AE$35</f>
        <v>319433477.522223</v>
      </c>
      <c r="S624" s="1">
        <f t="shared" si="418"/>
        <v>907.4814702335881</v>
      </c>
      <c r="T624" s="1">
        <f t="shared" si="419"/>
        <v>367.53113749677993</v>
      </c>
      <c r="U624">
        <f t="shared" si="420"/>
        <v>2.3282234119191324E-05</v>
      </c>
      <c r="V624">
        <f>+'Material Properties'!AE$31+'Material Properties'!AE$33</f>
        <v>0.00029034311030761144</v>
      </c>
      <c r="W624">
        <f t="shared" si="421"/>
        <v>0.00031362534442680277</v>
      </c>
      <c r="X624" s="1">
        <f>+'Volcano Summary'!E$12*10^9/Q624/3600/24/365</f>
        <v>0</v>
      </c>
      <c r="Y624" s="3">
        <f t="shared" si="422"/>
        <v>4000</v>
      </c>
      <c r="Z624" s="1">
        <f>+Y624*'Volcano Summary'!B$19*'Volcano Summary'!B$20/1000</f>
        <v>162000000</v>
      </c>
      <c r="AA624" s="1">
        <f t="shared" si="423"/>
        <v>434923.1017751907</v>
      </c>
      <c r="AB624" s="3">
        <f t="shared" si="372"/>
        <v>120.81197271533074</v>
      </c>
      <c r="AC624" s="1">
        <f t="shared" si="424"/>
        <v>162633179.237257</v>
      </c>
      <c r="AD624" s="36">
        <f t="shared" si="425"/>
        <v>45175.88312146028</v>
      </c>
      <c r="AE624" s="36">
        <f t="shared" si="406"/>
        <v>1882.3284633941785</v>
      </c>
      <c r="AG624" s="1">
        <f t="shared" si="426"/>
        <v>162000000000</v>
      </c>
      <c r="AH624" s="1">
        <f t="shared" si="427"/>
        <v>162000000</v>
      </c>
      <c r="AI624" s="1">
        <f t="shared" si="428"/>
        <v>162162000000</v>
      </c>
      <c r="AJ624" s="1">
        <f t="shared" si="429"/>
        <v>13867200000000</v>
      </c>
      <c r="AK624" s="1">
        <f t="shared" si="430"/>
        <v>13881067200000</v>
      </c>
      <c r="AL624" s="39">
        <f>+AJ624/('Volcano Summary'!C$8)*10^6</f>
        <v>962700.9341537718</v>
      </c>
      <c r="AM624" s="1">
        <f t="shared" si="431"/>
        <v>1882.3284633941785</v>
      </c>
    </row>
    <row r="625" spans="1:39" ht="12.75">
      <c r="A625" s="1">
        <f t="shared" si="407"/>
        <v>434923.1017751907</v>
      </c>
      <c r="B625" s="1">
        <f t="shared" si="408"/>
        <v>1887.2995352151254</v>
      </c>
      <c r="C625" s="1">
        <f t="shared" si="373"/>
        <v>356000</v>
      </c>
      <c r="D625" s="1">
        <f t="shared" si="383"/>
        <v>673.2557299612963</v>
      </c>
      <c r="E625" s="38">
        <f t="shared" si="409"/>
        <v>7108083908.237706</v>
      </c>
      <c r="F625" s="38">
        <f t="shared" si="410"/>
        <v>4570128569.926752</v>
      </c>
      <c r="G625" s="38">
        <f t="shared" si="411"/>
        <v>2032173231.6157975</v>
      </c>
      <c r="H625" s="19">
        <f t="shared" si="412"/>
        <v>0.0007426598508545091</v>
      </c>
      <c r="I625" s="50">
        <f t="shared" si="405"/>
        <v>0.018791808179948424</v>
      </c>
      <c r="J625" s="3">
        <f t="shared" si="413"/>
        <v>2.895592146020704</v>
      </c>
      <c r="K625" s="12">
        <f t="shared" si="403"/>
        <v>0.6315104622788902</v>
      </c>
      <c r="L625" s="3">
        <f t="shared" si="386"/>
        <v>997.8366363390725</v>
      </c>
      <c r="M625" s="12">
        <f t="shared" si="414"/>
        <v>0.6385823685840828</v>
      </c>
      <c r="N625" s="37">
        <f t="shared" si="415"/>
        <v>503586.61177547264</v>
      </c>
      <c r="O625" s="1">
        <f t="shared" si="416"/>
        <v>560988.7053418017</v>
      </c>
      <c r="P625">
        <f t="shared" si="388"/>
        <v>748.9917925730573</v>
      </c>
      <c r="Q625" s="1">
        <f t="shared" si="417"/>
        <v>377182.23906950356</v>
      </c>
      <c r="R625" s="1">
        <f>+Q625*1000/'Material Properties'!AE$35</f>
        <v>323466363.33171785</v>
      </c>
      <c r="S625" s="1">
        <f t="shared" si="418"/>
        <v>908.6133801452748</v>
      </c>
      <c r="T625" s="1">
        <f t="shared" si="419"/>
        <v>367.692360845772</v>
      </c>
      <c r="U625">
        <f t="shared" si="420"/>
        <v>2.3272050403641442E-05</v>
      </c>
      <c r="V625">
        <f>+'Material Properties'!AE$31+'Material Properties'!AE$33</f>
        <v>0.00029034311030761144</v>
      </c>
      <c r="W625">
        <f t="shared" si="421"/>
        <v>0.0003136151607112529</v>
      </c>
      <c r="X625" s="1">
        <f>+'Volcano Summary'!E$12*10^9/Q625/3600/24/365</f>
        <v>0</v>
      </c>
      <c r="Y625" s="3">
        <f t="shared" si="422"/>
        <v>4000</v>
      </c>
      <c r="Z625" s="1">
        <f>+Y625*'Volcano Summary'!B$19*'Volcano Summary'!B$20/1000</f>
        <v>162000000</v>
      </c>
      <c r="AA625" s="1">
        <f t="shared" si="423"/>
        <v>429500.605329797</v>
      </c>
      <c r="AB625" s="3">
        <f aca="true" t="shared" si="432" ref="AB625:AB638">+AA625/3600</f>
        <v>119.3057237027214</v>
      </c>
      <c r="AC625" s="1">
        <f t="shared" si="424"/>
        <v>163062679.84258682</v>
      </c>
      <c r="AD625" s="36">
        <f t="shared" si="425"/>
        <v>45295.18884516301</v>
      </c>
      <c r="AE625" s="36">
        <f t="shared" si="406"/>
        <v>1887.2995352151254</v>
      </c>
      <c r="AG625" s="1">
        <f t="shared" si="426"/>
        <v>162000000000</v>
      </c>
      <c r="AH625" s="1">
        <f t="shared" si="427"/>
        <v>162000000</v>
      </c>
      <c r="AI625" s="1">
        <f t="shared" si="428"/>
        <v>162162000000</v>
      </c>
      <c r="AJ625" s="1">
        <f t="shared" si="429"/>
        <v>14029200000000</v>
      </c>
      <c r="AK625" s="1">
        <f t="shared" si="430"/>
        <v>14043229200000</v>
      </c>
      <c r="AL625" s="39">
        <f>+AJ625/('Volcano Summary'!C$8)*10^6</f>
        <v>973947.4403938861</v>
      </c>
      <c r="AM625" s="1">
        <f t="shared" si="431"/>
        <v>1887.2995352151254</v>
      </c>
    </row>
    <row r="626" spans="1:39" ht="12.75">
      <c r="A626" s="1">
        <f t="shared" si="407"/>
        <v>429500.605329797</v>
      </c>
      <c r="B626" s="1">
        <f t="shared" si="408"/>
        <v>1892.2093342864866</v>
      </c>
      <c r="C626" s="1">
        <f t="shared" si="373"/>
        <v>360000</v>
      </c>
      <c r="D626" s="1">
        <f t="shared" si="383"/>
        <v>677.0275002573076</v>
      </c>
      <c r="E626" s="38">
        <f t="shared" si="409"/>
        <v>7147905418.183396</v>
      </c>
      <c r="F626" s="38">
        <f t="shared" si="410"/>
        <v>4595731731.432696</v>
      </c>
      <c r="G626" s="38">
        <f t="shared" si="411"/>
        <v>2043558044.6819978</v>
      </c>
      <c r="H626" s="19">
        <f t="shared" si="412"/>
        <v>0.0007385224378772984</v>
      </c>
      <c r="I626" s="50">
        <f t="shared" si="405"/>
        <v>0.01877724912953298</v>
      </c>
      <c r="J626" s="3">
        <f t="shared" si="413"/>
        <v>2.8867419803772076</v>
      </c>
      <c r="K626" s="12">
        <f t="shared" si="403"/>
        <v>0.6311299051562198</v>
      </c>
      <c r="L626" s="3">
        <f t="shared" si="386"/>
        <v>997.2353258907071</v>
      </c>
      <c r="M626" s="12">
        <f t="shared" si="414"/>
        <v>0.6385469679215089</v>
      </c>
      <c r="N626" s="37">
        <f t="shared" si="415"/>
        <v>509244.8883122757</v>
      </c>
      <c r="O626" s="1">
        <f t="shared" si="416"/>
        <v>562369.4868369418</v>
      </c>
      <c r="P626">
        <f t="shared" si="388"/>
        <v>749.9129861770243</v>
      </c>
      <c r="Q626" s="1">
        <f t="shared" si="417"/>
        <v>381889.3548896439</v>
      </c>
      <c r="R626" s="1">
        <f>+Q626*1000/'Material Properties'!AE$35</f>
        <v>327503121.9019999</v>
      </c>
      <c r="S626" s="1">
        <f t="shared" si="418"/>
        <v>909.730894172222</v>
      </c>
      <c r="T626" s="1">
        <f t="shared" si="419"/>
        <v>367.85028924287315</v>
      </c>
      <c r="U626">
        <f t="shared" si="420"/>
        <v>2.3262083448428877E-05</v>
      </c>
      <c r="V626">
        <f>+'Material Properties'!AE$31+'Material Properties'!AE$33</f>
        <v>0.00029034311030761144</v>
      </c>
      <c r="W626">
        <f t="shared" si="421"/>
        <v>0.0003136051937560403</v>
      </c>
      <c r="X626" s="1">
        <f>+'Volcano Summary'!E$12*10^9/Q626/3600/24/365</f>
        <v>0</v>
      </c>
      <c r="Y626" s="3">
        <f t="shared" si="422"/>
        <v>4000</v>
      </c>
      <c r="Z626" s="1">
        <f>+Y626*'Volcano Summary'!B$19*'Volcano Summary'!B$20/1000</f>
        <v>162000000</v>
      </c>
      <c r="AA626" s="1">
        <f t="shared" si="423"/>
        <v>424206.63976562995</v>
      </c>
      <c r="AB626" s="3">
        <f t="shared" si="432"/>
        <v>117.83517771267499</v>
      </c>
      <c r="AC626" s="1">
        <f t="shared" si="424"/>
        <v>163486886.48235244</v>
      </c>
      <c r="AD626" s="36">
        <f t="shared" si="425"/>
        <v>45413.02402287568</v>
      </c>
      <c r="AE626" s="36">
        <f t="shared" si="406"/>
        <v>1892.2093342864866</v>
      </c>
      <c r="AG626" s="1">
        <f t="shared" si="426"/>
        <v>161999999999.99997</v>
      </c>
      <c r="AH626" s="1">
        <f t="shared" si="427"/>
        <v>162000000</v>
      </c>
      <c r="AI626" s="1">
        <f t="shared" si="428"/>
        <v>162161999999.99997</v>
      </c>
      <c r="AJ626" s="1">
        <f t="shared" si="429"/>
        <v>14191200000000</v>
      </c>
      <c r="AK626" s="1">
        <f t="shared" si="430"/>
        <v>14205391200000</v>
      </c>
      <c r="AL626" s="39">
        <f>+AJ626/('Volcano Summary'!C$8)*10^6</f>
        <v>985193.9466340002</v>
      </c>
      <c r="AM626" s="1">
        <f t="shared" si="431"/>
        <v>1892.2093342864866</v>
      </c>
    </row>
    <row r="627" spans="1:39" ht="13.5" thickBot="1">
      <c r="A627" s="46">
        <f t="shared" si="407"/>
        <v>424206.63976562995</v>
      </c>
      <c r="B627" s="46">
        <f t="shared" si="408"/>
        <v>1897.0592968565982</v>
      </c>
      <c r="C627" s="46">
        <f t="shared" si="373"/>
        <v>364000</v>
      </c>
      <c r="D627" s="46">
        <f t="shared" si="383"/>
        <v>680.7783738365954</v>
      </c>
      <c r="E627" s="47">
        <f t="shared" si="409"/>
        <v>7187506305.25242</v>
      </c>
      <c r="F627" s="47">
        <f t="shared" si="410"/>
        <v>4621193043.8939705</v>
      </c>
      <c r="G627" s="47">
        <f t="shared" si="411"/>
        <v>2054879782.5355206</v>
      </c>
      <c r="H627" s="33">
        <f t="shared" si="412"/>
        <v>0.0007344534127636861</v>
      </c>
      <c r="I627" s="52">
        <f t="shared" si="405"/>
        <v>0.018762873125764315</v>
      </c>
      <c r="J627" s="14">
        <f t="shared" si="413"/>
        <v>2.878045620046965</v>
      </c>
      <c r="K627" s="15">
        <f t="shared" si="403"/>
        <v>0.6307559616620194</v>
      </c>
      <c r="L627" s="14">
        <f t="shared" si="386"/>
        <v>996.6444655000696</v>
      </c>
      <c r="M627" s="15">
        <f t="shared" si="414"/>
        <v>0.6385121824801878</v>
      </c>
      <c r="N627" s="53">
        <f t="shared" si="415"/>
        <v>514903.16484907886</v>
      </c>
      <c r="O627" s="46">
        <f t="shared" si="416"/>
        <v>563734.5438843983</v>
      </c>
      <c r="P627" s="16">
        <f t="shared" si="388"/>
        <v>750.8225781663723</v>
      </c>
      <c r="Q627" s="46">
        <f t="shared" si="417"/>
        <v>386600.92173801</v>
      </c>
      <c r="R627" s="46">
        <f>+Q627*1000/'Material Properties'!AE$35</f>
        <v>331543697.61361086</v>
      </c>
      <c r="S627" s="46">
        <f t="shared" si="418"/>
        <v>910.8343341033266</v>
      </c>
      <c r="T627" s="46">
        <f t="shared" si="419"/>
        <v>368.00502722844385</v>
      </c>
      <c r="U627" s="16">
        <f t="shared" si="420"/>
        <v>2.325232611885267E-05</v>
      </c>
      <c r="V627" s="16">
        <f>+'Material Properties'!AE$31+'Material Properties'!AE$33</f>
        <v>0.00029034311030761144</v>
      </c>
      <c r="W627" s="16">
        <f t="shared" si="421"/>
        <v>0.0003135954364264641</v>
      </c>
      <c r="X627" s="46">
        <f>+'Volcano Summary'!E$12*10^9/Q627/3600/24/365</f>
        <v>0</v>
      </c>
      <c r="Y627" s="14">
        <f t="shared" si="422"/>
        <v>4000</v>
      </c>
      <c r="Z627" s="46">
        <f>+Y627*'Volcano Summary'!B$19*'Volcano Summary'!B$20/1000</f>
        <v>162000000</v>
      </c>
      <c r="AA627" s="46">
        <f t="shared" si="423"/>
        <v>419036.7660576439</v>
      </c>
      <c r="AB627" s="14">
        <f t="shared" si="432"/>
        <v>116.39910168267886</v>
      </c>
      <c r="AC627" s="46">
        <f t="shared" si="424"/>
        <v>163905923.24841008</v>
      </c>
      <c r="AD627" s="48">
        <f t="shared" si="425"/>
        <v>45529.42312455836</v>
      </c>
      <c r="AE627" s="48">
        <f t="shared" si="406"/>
        <v>1897.0592968565982</v>
      </c>
      <c r="AF627" s="16"/>
      <c r="AG627" s="46">
        <f t="shared" si="426"/>
        <v>162000000000</v>
      </c>
      <c r="AH627" s="46">
        <f t="shared" si="427"/>
        <v>162000000</v>
      </c>
      <c r="AI627" s="46">
        <f t="shared" si="428"/>
        <v>162162000000</v>
      </c>
      <c r="AJ627" s="46">
        <f t="shared" si="429"/>
        <v>14353200000000</v>
      </c>
      <c r="AK627" s="46">
        <f t="shared" si="430"/>
        <v>14367553200000</v>
      </c>
      <c r="AL627" s="49">
        <f>+AJ627/('Volcano Summary'!C$8)*10^6</f>
        <v>996440.4528741143</v>
      </c>
      <c r="AM627" s="46">
        <f t="shared" si="431"/>
        <v>1897.0592968565982</v>
      </c>
    </row>
    <row r="628" spans="1:39" ht="12.75">
      <c r="A628" s="1">
        <f t="shared" si="407"/>
        <v>419036.7660576439</v>
      </c>
      <c r="B628" s="1">
        <f t="shared" si="408"/>
        <v>1901.850810112194</v>
      </c>
      <c r="C628" s="1">
        <f t="shared" si="373"/>
        <v>368000</v>
      </c>
      <c r="D628" s="1">
        <f t="shared" si="383"/>
        <v>684.5086942198324</v>
      </c>
      <c r="E628" s="38">
        <f t="shared" si="409"/>
        <v>7226890196.259454</v>
      </c>
      <c r="F628" s="38">
        <f t="shared" si="410"/>
        <v>4646514839.163936</v>
      </c>
      <c r="G628" s="38">
        <f t="shared" si="411"/>
        <v>2066139482.0684164</v>
      </c>
      <c r="H628" s="19">
        <f t="shared" si="412"/>
        <v>0.0007304509120514154</v>
      </c>
      <c r="I628" s="50">
        <f t="shared" si="405"/>
        <v>0.018748675876748506</v>
      </c>
      <c r="J628" s="3">
        <f t="shared" si="413"/>
        <v>2.869498739392732</v>
      </c>
      <c r="K628" s="12">
        <f t="shared" si="403"/>
        <v>0.6303884457938874</v>
      </c>
      <c r="L628" s="3">
        <f t="shared" si="386"/>
        <v>996.0637612686073</v>
      </c>
      <c r="M628" s="12">
        <f t="shared" si="414"/>
        <v>0.638477994957571</v>
      </c>
      <c r="N628" s="37">
        <f t="shared" si="415"/>
        <v>520561.44138588186</v>
      </c>
      <c r="O628" s="1">
        <f t="shared" si="416"/>
        <v>565084.1991224588</v>
      </c>
      <c r="P628">
        <f t="shared" si="388"/>
        <v>751.7208252552664</v>
      </c>
      <c r="Q628" s="1">
        <f t="shared" si="417"/>
        <v>391316.87631466606</v>
      </c>
      <c r="R628" s="1">
        <f>+Q628*1000/'Material Properties'!AE$35</f>
        <v>335588036.1813858</v>
      </c>
      <c r="S628" s="1">
        <f t="shared" si="418"/>
        <v>911.9240113624614</v>
      </c>
      <c r="T628" s="1">
        <f t="shared" si="419"/>
        <v>368.1566748908763</v>
      </c>
      <c r="U628">
        <f t="shared" si="420"/>
        <v>2.3242771594732266E-05</v>
      </c>
      <c r="V628">
        <f>+'Material Properties'!AE$31+'Material Properties'!AE$33</f>
        <v>0.00029034311030761144</v>
      </c>
      <c r="W628">
        <f t="shared" si="421"/>
        <v>0.0003135858819023437</v>
      </c>
      <c r="X628" s="1">
        <f>+'Volcano Summary'!E$12*10^9/Q628/3600/24/365</f>
        <v>0</v>
      </c>
      <c r="Y628" s="3">
        <f t="shared" si="422"/>
        <v>4000</v>
      </c>
      <c r="Z628" s="1">
        <f>+Y628*'Volcano Summary'!B$19*'Volcano Summary'!B$20/1000</f>
        <v>162000000</v>
      </c>
      <c r="AA628" s="1">
        <f t="shared" si="423"/>
        <v>413986.74528346286</v>
      </c>
      <c r="AB628" s="3">
        <f t="shared" si="432"/>
        <v>114.99631813429524</v>
      </c>
      <c r="AC628" s="1">
        <f t="shared" si="424"/>
        <v>164319909.99369353</v>
      </c>
      <c r="AD628" s="36">
        <f t="shared" si="425"/>
        <v>45644.419442692655</v>
      </c>
      <c r="AE628" s="36">
        <f t="shared" si="406"/>
        <v>1901.850810112194</v>
      </c>
      <c r="AG628" s="1">
        <f t="shared" si="426"/>
        <v>162000000000</v>
      </c>
      <c r="AH628" s="1">
        <f t="shared" si="427"/>
        <v>162000000</v>
      </c>
      <c r="AI628" s="1">
        <f t="shared" si="428"/>
        <v>162162000000</v>
      </c>
      <c r="AJ628" s="1">
        <f t="shared" si="429"/>
        <v>14515200000000</v>
      </c>
      <c r="AK628" s="1">
        <f t="shared" si="430"/>
        <v>14529715200000</v>
      </c>
      <c r="AL628" s="39">
        <f>+AJ628/('Volcano Summary'!C$8)*10^6</f>
        <v>1007686.9591142286</v>
      </c>
      <c r="AM628" s="1">
        <f t="shared" si="431"/>
        <v>1901.850810112194</v>
      </c>
    </row>
    <row r="629" spans="1:39" ht="12.75">
      <c r="A629" s="1">
        <f t="shared" si="407"/>
        <v>413986.74528346286</v>
      </c>
      <c r="B629" s="1">
        <f t="shared" si="408"/>
        <v>1906.5852143661807</v>
      </c>
      <c r="C629" s="1">
        <f t="shared" si="373"/>
        <v>372000</v>
      </c>
      <c r="D629" s="1">
        <f t="shared" si="383"/>
        <v>688.2187956177022</v>
      </c>
      <c r="E629" s="38">
        <f t="shared" si="409"/>
        <v>7266060619.726396</v>
      </c>
      <c r="F629" s="38">
        <f t="shared" si="410"/>
        <v>4671699385.898807</v>
      </c>
      <c r="G629" s="38">
        <f t="shared" si="411"/>
        <v>2077338152.0712175</v>
      </c>
      <c r="H629" s="19">
        <f t="shared" si="412"/>
        <v>0.0007265131425991224</v>
      </c>
      <c r="I629" s="50">
        <f t="shared" si="405"/>
        <v>0.018734653236725456</v>
      </c>
      <c r="J629" s="3">
        <f t="shared" si="413"/>
        <v>2.861097179851823</v>
      </c>
      <c r="K629" s="12">
        <f t="shared" si="403"/>
        <v>0.6300271787336283</v>
      </c>
      <c r="L629" s="3">
        <f t="shared" si="386"/>
        <v>995.4929306493834</v>
      </c>
      <c r="M629" s="12">
        <f t="shared" si="414"/>
        <v>0.6384443887194073</v>
      </c>
      <c r="N629" s="37">
        <f t="shared" si="415"/>
        <v>526219.7179226849</v>
      </c>
      <c r="O629" s="1">
        <f t="shared" si="416"/>
        <v>566418.7654987329</v>
      </c>
      <c r="P629">
        <f t="shared" si="388"/>
        <v>752.6079759733701</v>
      </c>
      <c r="Q629" s="1">
        <f t="shared" si="417"/>
        <v>396037.15682306956</v>
      </c>
      <c r="R629" s="1">
        <f>+Q629*1000/'Material Properties'!AE$35</f>
        <v>339636084.60944957</v>
      </c>
      <c r="S629" s="1">
        <f t="shared" si="418"/>
        <v>913.0002274447569</v>
      </c>
      <c r="T629" s="1">
        <f t="shared" si="419"/>
        <v>368.3053281030808</v>
      </c>
      <c r="U629">
        <f t="shared" si="420"/>
        <v>2.3233413353138504E-05</v>
      </c>
      <c r="V629">
        <f>+'Material Properties'!AE$31+'Material Properties'!AE$33</f>
        <v>0.00029034311030761144</v>
      </c>
      <c r="W629">
        <f t="shared" si="421"/>
        <v>0.00031357652366074994</v>
      </c>
      <c r="X629" s="1">
        <f>+'Volcano Summary'!E$12*10^9/Q629/3600/24/365</f>
        <v>0</v>
      </c>
      <c r="Y629" s="3">
        <f t="shared" si="422"/>
        <v>4000</v>
      </c>
      <c r="Z629" s="1">
        <f>+Y629*'Volcano Summary'!B$19*'Volcano Summary'!B$20/1000</f>
        <v>162000000</v>
      </c>
      <c r="AA629" s="1">
        <f t="shared" si="423"/>
        <v>409052.52754446433</v>
      </c>
      <c r="AB629" s="3">
        <f t="shared" si="432"/>
        <v>113.62570209568453</v>
      </c>
      <c r="AC629" s="1">
        <f t="shared" si="424"/>
        <v>164728962.521238</v>
      </c>
      <c r="AD629" s="36">
        <f t="shared" si="425"/>
        <v>45758.04514478834</v>
      </c>
      <c r="AE629" s="36">
        <f t="shared" si="406"/>
        <v>1906.5852143661807</v>
      </c>
      <c r="AG629" s="1">
        <f t="shared" si="426"/>
        <v>162000000000</v>
      </c>
      <c r="AH629" s="1">
        <f t="shared" si="427"/>
        <v>162000000</v>
      </c>
      <c r="AI629" s="1">
        <f t="shared" si="428"/>
        <v>162162000000</v>
      </c>
      <c r="AJ629" s="1">
        <f t="shared" si="429"/>
        <v>14677200000000</v>
      </c>
      <c r="AK629" s="1">
        <f t="shared" si="430"/>
        <v>14691877200000</v>
      </c>
      <c r="AL629" s="39">
        <f>+AJ629/('Volcano Summary'!C$8)*10^6</f>
        <v>1018933.4653543427</v>
      </c>
      <c r="AM629" s="1">
        <f t="shared" si="431"/>
        <v>1906.5852143661807</v>
      </c>
    </row>
    <row r="630" spans="1:39" ht="12.75">
      <c r="A630" s="1">
        <f t="shared" si="407"/>
        <v>409052.52754446433</v>
      </c>
      <c r="B630" s="1">
        <f t="shared" si="408"/>
        <v>1911.2638051255751</v>
      </c>
      <c r="C630" s="1">
        <f t="shared" si="373"/>
        <v>376000</v>
      </c>
      <c r="D630" s="1">
        <f t="shared" si="383"/>
        <v>691.9090032803599</v>
      </c>
      <c r="E630" s="38">
        <f t="shared" si="409"/>
        <v>7305021009.571873</v>
      </c>
      <c r="F630" s="38">
        <f t="shared" si="410"/>
        <v>4696748891.929812</v>
      </c>
      <c r="G630" s="38">
        <f t="shared" si="411"/>
        <v>2088476774.2877529</v>
      </c>
      <c r="H630" s="19">
        <f t="shared" si="412"/>
        <v>0.0007226383782108428</v>
      </c>
      <c r="I630" s="50">
        <f t="shared" si="405"/>
        <v>0.018720801199579182</v>
      </c>
      <c r="J630" s="3">
        <f t="shared" si="413"/>
        <v>2.85283694176715</v>
      </c>
      <c r="K630" s="12">
        <f t="shared" si="403"/>
        <v>0.6296719884959874</v>
      </c>
      <c r="L630" s="3">
        <f t="shared" si="386"/>
        <v>994.9317018920495</v>
      </c>
      <c r="M630" s="12">
        <f t="shared" si="414"/>
        <v>0.6384113477670686</v>
      </c>
      <c r="N630" s="37">
        <f t="shared" si="415"/>
        <v>531877.9944594878</v>
      </c>
      <c r="O630" s="1">
        <f t="shared" si="416"/>
        <v>567738.5466546721</v>
      </c>
      <c r="P630">
        <f t="shared" si="388"/>
        <v>753.4842710068154</v>
      </c>
      <c r="Q630" s="1">
        <f t="shared" si="417"/>
        <v>400761.7029198742</v>
      </c>
      <c r="R630" s="1">
        <f>+Q630*1000/'Material Properties'!AE$35</f>
        <v>343687791.14816827</v>
      </c>
      <c r="S630" s="1">
        <f t="shared" si="418"/>
        <v>914.0632743302348</v>
      </c>
      <c r="T630" s="1">
        <f t="shared" si="419"/>
        <v>368.4510787439858</v>
      </c>
      <c r="U630">
        <f t="shared" si="420"/>
        <v>2.3224245152254545E-05</v>
      </c>
      <c r="V630">
        <f>+'Material Properties'!AE$31+'Material Properties'!AE$33</f>
        <v>0.00029034311030761144</v>
      </c>
      <c r="W630">
        <f t="shared" si="421"/>
        <v>0.00031356735545986597</v>
      </c>
      <c r="X630" s="1">
        <f>+'Volcano Summary'!E$12*10^9/Q630/3600/24/365</f>
        <v>0</v>
      </c>
      <c r="Y630" s="3">
        <f t="shared" si="422"/>
        <v>4000</v>
      </c>
      <c r="Z630" s="1">
        <f>+Y630*'Volcano Summary'!B$19*'Volcano Summary'!B$20/1000</f>
        <v>162000000</v>
      </c>
      <c r="AA630" s="1">
        <f t="shared" si="423"/>
        <v>404230.2416116574</v>
      </c>
      <c r="AB630" s="3">
        <f t="shared" si="432"/>
        <v>112.28617822546038</v>
      </c>
      <c r="AC630" s="1">
        <f t="shared" si="424"/>
        <v>165133192.76284966</v>
      </c>
      <c r="AD630" s="36">
        <f t="shared" si="425"/>
        <v>45870.3313230138</v>
      </c>
      <c r="AE630" s="36">
        <f t="shared" si="406"/>
        <v>1911.2638051255751</v>
      </c>
      <c r="AG630" s="1">
        <f t="shared" si="426"/>
        <v>162000000000</v>
      </c>
      <c r="AH630" s="1">
        <f t="shared" si="427"/>
        <v>162000000</v>
      </c>
      <c r="AI630" s="1">
        <f t="shared" si="428"/>
        <v>162162000000</v>
      </c>
      <c r="AJ630" s="1">
        <f t="shared" si="429"/>
        <v>14839200000000</v>
      </c>
      <c r="AK630" s="1">
        <f t="shared" si="430"/>
        <v>14854039200000</v>
      </c>
      <c r="AL630" s="39">
        <f>+AJ630/('Volcano Summary'!C$8)*10^6</f>
        <v>1030179.9715944568</v>
      </c>
      <c r="AM630" s="1">
        <f t="shared" si="431"/>
        <v>1911.2638051255751</v>
      </c>
    </row>
    <row r="631" spans="1:39" ht="12.75">
      <c r="A631" s="1">
        <f t="shared" si="407"/>
        <v>404230.2416116574</v>
      </c>
      <c r="B631" s="1">
        <f t="shared" si="408"/>
        <v>1915.887835047355</v>
      </c>
      <c r="C631" s="1">
        <f t="shared" si="373"/>
        <v>380000</v>
      </c>
      <c r="D631" s="1">
        <f t="shared" si="383"/>
        <v>695.5796338302048</v>
      </c>
      <c r="E631" s="38">
        <f t="shared" si="409"/>
        <v>7343774708.624592</v>
      </c>
      <c r="F631" s="38">
        <f t="shared" si="410"/>
        <v>4721665506.522097</v>
      </c>
      <c r="G631" s="38">
        <f t="shared" si="411"/>
        <v>2099556304.4196014</v>
      </c>
      <c r="H631" s="19">
        <f t="shared" si="412"/>
        <v>0.0007188249564564638</v>
      </c>
      <c r="I631" s="50">
        <f t="shared" si="405"/>
        <v>0.018707115892702093</v>
      </c>
      <c r="J631" s="3">
        <f t="shared" si="413"/>
        <v>2.8447141766997603</v>
      </c>
      <c r="K631" s="12">
        <f t="shared" si="403"/>
        <v>0.6293227095980896</v>
      </c>
      <c r="L631" s="3">
        <f t="shared" si="386"/>
        <v>994.3798135205333</v>
      </c>
      <c r="M631" s="12">
        <f t="shared" si="414"/>
        <v>0.6383788567067991</v>
      </c>
      <c r="N631" s="37">
        <f t="shared" si="415"/>
        <v>537536.270996291</v>
      </c>
      <c r="O631" s="1">
        <f t="shared" si="416"/>
        <v>569043.8372911238</v>
      </c>
      <c r="P631">
        <f t="shared" si="388"/>
        <v>754.3499435216548</v>
      </c>
      <c r="Q631" s="1">
        <f t="shared" si="417"/>
        <v>405490.455666893</v>
      </c>
      <c r="R631" s="1">
        <f>+Q631*1000/'Material Properties'!AE$35</f>
        <v>347743105.25295347</v>
      </c>
      <c r="S631" s="1">
        <f t="shared" si="418"/>
        <v>915.1134348761933</v>
      </c>
      <c r="T631" s="1">
        <f t="shared" si="419"/>
        <v>368.59401490614823</v>
      </c>
      <c r="U631">
        <f t="shared" si="420"/>
        <v>2.3215261016281394E-05</v>
      </c>
      <c r="V631">
        <f>+'Material Properties'!AE$31+'Material Properties'!AE$33</f>
        <v>0.00029034311030761144</v>
      </c>
      <c r="W631">
        <f t="shared" si="421"/>
        <v>0.0003135583713238928</v>
      </c>
      <c r="X631" s="1">
        <f>+'Volcano Summary'!E$12*10^9/Q631/3600/24/365</f>
        <v>0</v>
      </c>
      <c r="Y631" s="3">
        <f t="shared" si="422"/>
        <v>4000</v>
      </c>
      <c r="Z631" s="1">
        <f>+Y631*'Volcano Summary'!B$19*'Volcano Summary'!B$20/1000</f>
        <v>162000000</v>
      </c>
      <c r="AA631" s="1">
        <f t="shared" si="423"/>
        <v>399516.18524180906</v>
      </c>
      <c r="AB631" s="3">
        <f t="shared" si="432"/>
        <v>110.97671812272473</v>
      </c>
      <c r="AC631" s="1">
        <f t="shared" si="424"/>
        <v>165532708.94809148</v>
      </c>
      <c r="AD631" s="36">
        <f t="shared" si="425"/>
        <v>45981.30804113652</v>
      </c>
      <c r="AE631" s="36">
        <f t="shared" si="406"/>
        <v>1915.887835047355</v>
      </c>
      <c r="AG631" s="1">
        <f t="shared" si="426"/>
        <v>161999999999.99997</v>
      </c>
      <c r="AH631" s="1">
        <f t="shared" si="427"/>
        <v>162000000</v>
      </c>
      <c r="AI631" s="1">
        <f t="shared" si="428"/>
        <v>162161999999.99997</v>
      </c>
      <c r="AJ631" s="1">
        <f t="shared" si="429"/>
        <v>15001200000000</v>
      </c>
      <c r="AK631" s="1">
        <f t="shared" si="430"/>
        <v>15016201200000</v>
      </c>
      <c r="AL631" s="39">
        <f>+AJ631/('Volcano Summary'!C$8)*10^6</f>
        <v>1041426.477834571</v>
      </c>
      <c r="AM631" s="1">
        <f t="shared" si="431"/>
        <v>1915.887835047355</v>
      </c>
    </row>
    <row r="632" spans="1:39" ht="12.75">
      <c r="A632" s="1">
        <f t="shared" si="407"/>
        <v>399516.18524180906</v>
      </c>
      <c r="B632" s="1">
        <f t="shared" si="408"/>
        <v>1920.4585157894142</v>
      </c>
      <c r="C632" s="1">
        <f t="shared" si="373"/>
        <v>384000</v>
      </c>
      <c r="D632" s="1">
        <f t="shared" si="383"/>
        <v>699.2309955789307</v>
      </c>
      <c r="E632" s="38">
        <f t="shared" si="409"/>
        <v>7382324971.970682</v>
      </c>
      <c r="F632" s="38">
        <f t="shared" si="410"/>
        <v>4746451322.526883</v>
      </c>
      <c r="G632" s="38">
        <f t="shared" si="411"/>
        <v>2110577673.0830858</v>
      </c>
      <c r="H632" s="19">
        <f t="shared" si="412"/>
        <v>0.0007150712756748194</v>
      </c>
      <c r="I632" s="50">
        <f t="shared" si="405"/>
        <v>0.018693593571190426</v>
      </c>
      <c r="J632" s="3">
        <f t="shared" si="413"/>
        <v>2.836725180189774</v>
      </c>
      <c r="K632" s="12">
        <f t="shared" si="403"/>
        <v>0.6289791827481602</v>
      </c>
      <c r="L632" s="3">
        <f t="shared" si="386"/>
        <v>993.8370138411921</v>
      </c>
      <c r="M632" s="12">
        <f t="shared" si="414"/>
        <v>0.6383469007207591</v>
      </c>
      <c r="N632" s="37">
        <f t="shared" si="415"/>
        <v>543194.5475330942</v>
      </c>
      <c r="O632" s="1">
        <f t="shared" si="416"/>
        <v>570334.9235160376</v>
      </c>
      <c r="P632">
        <f t="shared" si="388"/>
        <v>755.2052194708651</v>
      </c>
      <c r="Q632" s="1">
        <f t="shared" si="417"/>
        <v>410223.35748510767</v>
      </c>
      <c r="R632" s="1">
        <f>+Q632*1000/'Material Properties'!AE$35</f>
        <v>351801977.54482156</v>
      </c>
      <c r="S632" s="1">
        <f t="shared" si="418"/>
        <v>916.1509831896395</v>
      </c>
      <c r="T632" s="1">
        <f t="shared" si="419"/>
        <v>368.73422109048704</v>
      </c>
      <c r="U632">
        <f t="shared" si="420"/>
        <v>2.320645522130949E-05</v>
      </c>
      <c r="V632">
        <f>+'Material Properties'!AE$31+'Material Properties'!AE$33</f>
        <v>0.00029034311030761144</v>
      </c>
      <c r="W632">
        <f t="shared" si="421"/>
        <v>0.00031354956552892094</v>
      </c>
      <c r="X632" s="1">
        <f>+'Volcano Summary'!E$12*10^9/Q632/3600/24/365</f>
        <v>0</v>
      </c>
      <c r="Y632" s="3">
        <f t="shared" si="422"/>
        <v>4000</v>
      </c>
      <c r="Z632" s="1">
        <f>+Y632*'Volcano Summary'!B$19*'Volcano Summary'!B$20/1000</f>
        <v>162000000</v>
      </c>
      <c r="AA632" s="1">
        <f t="shared" si="423"/>
        <v>394906.8161139047</v>
      </c>
      <c r="AB632" s="3">
        <f t="shared" si="432"/>
        <v>109.69633780941797</v>
      </c>
      <c r="AC632" s="1">
        <f t="shared" si="424"/>
        <v>165927615.7642054</v>
      </c>
      <c r="AD632" s="36">
        <f t="shared" si="425"/>
        <v>46091.00437894594</v>
      </c>
      <c r="AE632" s="36">
        <f t="shared" si="406"/>
        <v>1920.4585157894142</v>
      </c>
      <c r="AG632" s="1">
        <f t="shared" si="426"/>
        <v>162000000000</v>
      </c>
      <c r="AH632" s="1">
        <f t="shared" si="427"/>
        <v>162000000</v>
      </c>
      <c r="AI632" s="1">
        <f t="shared" si="428"/>
        <v>162162000000</v>
      </c>
      <c r="AJ632" s="1">
        <f t="shared" si="429"/>
        <v>15163200000000</v>
      </c>
      <c r="AK632" s="1">
        <f t="shared" si="430"/>
        <v>15178363200000</v>
      </c>
      <c r="AL632" s="39">
        <f>+AJ632/('Volcano Summary'!C$8)*10^6</f>
        <v>1052672.984074685</v>
      </c>
      <c r="AM632" s="1">
        <f t="shared" si="431"/>
        <v>1920.4585157894142</v>
      </c>
    </row>
    <row r="633" spans="1:39" ht="12.75">
      <c r="A633" s="1">
        <f t="shared" si="407"/>
        <v>394906.8161139047</v>
      </c>
      <c r="B633" s="1">
        <f t="shared" si="408"/>
        <v>1924.977019763259</v>
      </c>
      <c r="C633" s="1">
        <f t="shared" si="373"/>
        <v>388000</v>
      </c>
      <c r="D633" s="1">
        <f t="shared" si="383"/>
        <v>702.863388829752</v>
      </c>
      <c r="E633" s="38">
        <f t="shared" si="409"/>
        <v>7420674970.144539</v>
      </c>
      <c r="F633" s="38">
        <f t="shared" si="410"/>
        <v>4771108378.433028</v>
      </c>
      <c r="G633" s="38">
        <f t="shared" si="411"/>
        <v>2121541786.7215176</v>
      </c>
      <c r="H633" s="19">
        <f t="shared" si="412"/>
        <v>0.0007113757921471569</v>
      </c>
      <c r="I633" s="50">
        <f t="shared" si="405"/>
        <v>0.018680230612349663</v>
      </c>
      <c r="J633" s="3">
        <f t="shared" si="413"/>
        <v>2.828866384935181</v>
      </c>
      <c r="K633" s="12">
        <f t="shared" si="403"/>
        <v>0.6286412545522126</v>
      </c>
      <c r="L633" s="3">
        <f t="shared" si="386"/>
        <v>993.303060479356</v>
      </c>
      <c r="M633" s="12">
        <f t="shared" si="414"/>
        <v>0.6383154655397407</v>
      </c>
      <c r="N633" s="37">
        <f t="shared" si="415"/>
        <v>548852.8240698971</v>
      </c>
      <c r="O633" s="1">
        <f t="shared" si="416"/>
        <v>571612.0831753634</v>
      </c>
      <c r="P633">
        <f t="shared" si="388"/>
        <v>756.0503178858953</v>
      </c>
      <c r="Q633" s="1">
        <f t="shared" si="417"/>
        <v>414960.35211061704</v>
      </c>
      <c r="R633" s="1">
        <f>+Q633*1000/'Material Properties'!AE$35</f>
        <v>355864359.7726154</v>
      </c>
      <c r="S633" s="1">
        <f t="shared" si="418"/>
        <v>917.1761849809675</v>
      </c>
      <c r="T633" s="1">
        <f t="shared" si="419"/>
        <v>368.8717783890613</v>
      </c>
      <c r="U633">
        <f t="shared" si="420"/>
        <v>2.31978222820851E-05</v>
      </c>
      <c r="V633">
        <f>+'Material Properties'!AE$31+'Material Properties'!AE$33</f>
        <v>0.00029034311030761144</v>
      </c>
      <c r="W633">
        <f t="shared" si="421"/>
        <v>0.00031354093258969656</v>
      </c>
      <c r="X633" s="1">
        <f>+'Volcano Summary'!E$12*10^9/Q633/3600/24/365</f>
        <v>0</v>
      </c>
      <c r="Y633" s="3">
        <f t="shared" si="422"/>
        <v>4000</v>
      </c>
      <c r="Z633" s="1">
        <f>+Y633*'Volcano Summary'!B$19*'Volcano Summary'!B$20/1000</f>
        <v>162000000</v>
      </c>
      <c r="AA633" s="1">
        <f t="shared" si="423"/>
        <v>390398.7433402197</v>
      </c>
      <c r="AB633" s="3">
        <f t="shared" si="432"/>
        <v>108.44409537228326</v>
      </c>
      <c r="AC633" s="1">
        <f t="shared" si="424"/>
        <v>166318014.50754562</v>
      </c>
      <c r="AD633" s="36">
        <f t="shared" si="425"/>
        <v>46199.44847431822</v>
      </c>
      <c r="AE633" s="36">
        <f t="shared" si="406"/>
        <v>1924.977019763259</v>
      </c>
      <c r="AG633" s="1">
        <f t="shared" si="426"/>
        <v>161999999999.99997</v>
      </c>
      <c r="AH633" s="1">
        <f t="shared" si="427"/>
        <v>162000000</v>
      </c>
      <c r="AI633" s="1">
        <f t="shared" si="428"/>
        <v>162161999999.99997</v>
      </c>
      <c r="AJ633" s="1">
        <f t="shared" si="429"/>
        <v>15325200000000</v>
      </c>
      <c r="AK633" s="1">
        <f t="shared" si="430"/>
        <v>15340525200000</v>
      </c>
      <c r="AL633" s="39">
        <f>+AJ633/('Volcano Summary'!C$8)*10^6</f>
        <v>1063919.4903147994</v>
      </c>
      <c r="AM633" s="1">
        <f t="shared" si="431"/>
        <v>1924.977019763259</v>
      </c>
    </row>
    <row r="634" spans="1:39" ht="12.75">
      <c r="A634" s="1">
        <f t="shared" si="407"/>
        <v>390398.7433402197</v>
      </c>
      <c r="B634" s="1">
        <f t="shared" si="408"/>
        <v>1929.4444817946257</v>
      </c>
      <c r="C634" s="1">
        <f t="shared" si="373"/>
        <v>392000</v>
      </c>
      <c r="D634" s="1">
        <f t="shared" si="383"/>
        <v>706.4771061656448</v>
      </c>
      <c r="E634" s="38">
        <f t="shared" si="409"/>
        <v>7458827792.171997</v>
      </c>
      <c r="F634" s="38">
        <f t="shared" si="410"/>
        <v>4795638660.323614</v>
      </c>
      <c r="G634" s="38">
        <f t="shared" si="411"/>
        <v>2132449528.4752336</v>
      </c>
      <c r="H634" s="19">
        <f t="shared" si="412"/>
        <v>0.0007077370174296448</v>
      </c>
      <c r="I634" s="50">
        <f t="shared" si="405"/>
        <v>0.018667023510490457</v>
      </c>
      <c r="J634" s="3">
        <f t="shared" si="413"/>
        <v>2.8211343543603578</v>
      </c>
      <c r="K634" s="12">
        <f t="shared" si="403"/>
        <v>0.6283087772374953</v>
      </c>
      <c r="L634" s="3">
        <f t="shared" si="386"/>
        <v>992.777719942353</v>
      </c>
      <c r="M634" s="12">
        <f t="shared" si="414"/>
        <v>0.6382845374174414</v>
      </c>
      <c r="N634" s="37">
        <f t="shared" si="415"/>
        <v>554511.1006067002</v>
      </c>
      <c r="O634" s="1">
        <f t="shared" si="416"/>
        <v>572875.5861681123</v>
      </c>
      <c r="P634">
        <f t="shared" si="388"/>
        <v>756.8854511536817</v>
      </c>
      <c r="Q634" s="1">
        <f t="shared" si="417"/>
        <v>419701.38455242687</v>
      </c>
      <c r="R634" s="1">
        <f>+Q634*1000/'Material Properties'!AE$35</f>
        <v>359930204.7768053</v>
      </c>
      <c r="S634" s="1">
        <f t="shared" si="418"/>
        <v>918.1892979000135</v>
      </c>
      <c r="T634" s="1">
        <f t="shared" si="419"/>
        <v>369.0067646567446</v>
      </c>
      <c r="U634">
        <f t="shared" si="420"/>
        <v>2.3189356939605773E-05</v>
      </c>
      <c r="V634">
        <f>+'Material Properties'!AE$31+'Material Properties'!AE$33</f>
        <v>0.00029034311030761144</v>
      </c>
      <c r="W634">
        <f t="shared" si="421"/>
        <v>0.0003135324672472172</v>
      </c>
      <c r="X634" s="1">
        <f>+'Volcano Summary'!E$12*10^9/Q634/3600/24/365</f>
        <v>0</v>
      </c>
      <c r="Y634" s="3">
        <f t="shared" si="422"/>
        <v>4000</v>
      </c>
      <c r="Z634" s="1">
        <f>+Y634*'Volcano Summary'!B$19*'Volcano Summary'!B$20/1000</f>
        <v>162000000</v>
      </c>
      <c r="AA634" s="1">
        <f t="shared" si="423"/>
        <v>385988.71951008256</v>
      </c>
      <c r="AB634" s="3">
        <f t="shared" si="432"/>
        <v>107.21908875280072</v>
      </c>
      <c r="AC634" s="1">
        <f t="shared" si="424"/>
        <v>166704003.2270557</v>
      </c>
      <c r="AD634" s="36">
        <f t="shared" si="425"/>
        <v>46306.667563071016</v>
      </c>
      <c r="AE634" s="36">
        <f t="shared" si="406"/>
        <v>1929.4444817946257</v>
      </c>
      <c r="AG634" s="1">
        <f t="shared" si="426"/>
        <v>162000000000</v>
      </c>
      <c r="AH634" s="1">
        <f t="shared" si="427"/>
        <v>162000000</v>
      </c>
      <c r="AI634" s="1">
        <f t="shared" si="428"/>
        <v>162162000000</v>
      </c>
      <c r="AJ634" s="1">
        <f t="shared" si="429"/>
        <v>15487200000000</v>
      </c>
      <c r="AK634" s="1">
        <f t="shared" si="430"/>
        <v>15502687200000</v>
      </c>
      <c r="AL634" s="39">
        <f>+AJ634/('Volcano Summary'!C$8)*10^6</f>
        <v>1075165.9965549135</v>
      </c>
      <c r="AM634" s="1">
        <f t="shared" si="431"/>
        <v>1929.4444817946257</v>
      </c>
    </row>
    <row r="635" spans="1:39" ht="12.75">
      <c r="A635" s="1">
        <f t="shared" si="407"/>
        <v>385988.71951008256</v>
      </c>
      <c r="B635" s="1">
        <f t="shared" si="408"/>
        <v>1933.862000697726</v>
      </c>
      <c r="C635" s="1">
        <f t="shared" si="373"/>
        <v>396000</v>
      </c>
      <c r="D635" s="1">
        <f t="shared" si="383"/>
        <v>710.0724327243837</v>
      </c>
      <c r="E635" s="38">
        <f t="shared" si="409"/>
        <v>7496786448.4741125</v>
      </c>
      <c r="F635" s="38">
        <f t="shared" si="410"/>
        <v>4820044103.742943</v>
      </c>
      <c r="G635" s="38">
        <f t="shared" si="411"/>
        <v>2143301759.011773</v>
      </c>
      <c r="H635" s="19">
        <f t="shared" si="412"/>
        <v>0.000704153515834456</v>
      </c>
      <c r="I635" s="50">
        <f t="shared" si="405"/>
        <v>0.018653968871996815</v>
      </c>
      <c r="J635" s="3">
        <f t="shared" si="413"/>
        <v>2.813525776548306</v>
      </c>
      <c r="K635" s="12">
        <f t="shared" si="403"/>
        <v>0.627981608391577</v>
      </c>
      <c r="L635" s="3">
        <f t="shared" si="386"/>
        <v>992.2607672072423</v>
      </c>
      <c r="M635" s="12">
        <f t="shared" si="414"/>
        <v>0.6382541031061932</v>
      </c>
      <c r="N635" s="37">
        <f t="shared" si="415"/>
        <v>560169.3771435032</v>
      </c>
      <c r="O635" s="1">
        <f t="shared" si="416"/>
        <v>574125.6947464853</v>
      </c>
      <c r="P635">
        <f t="shared" si="388"/>
        <v>757.7108252799912</v>
      </c>
      <c r="Q635" s="1">
        <f t="shared" si="417"/>
        <v>424446.4010519825</v>
      </c>
      <c r="R635" s="1">
        <f>+Q635*1000/'Material Properties'!AE$35</f>
        <v>363999466.45478535</v>
      </c>
      <c r="S635" s="1">
        <f t="shared" si="418"/>
        <v>919.1905718555186</v>
      </c>
      <c r="T635" s="1">
        <f t="shared" si="419"/>
        <v>369.1392546725781</v>
      </c>
      <c r="U635">
        <f t="shared" si="420"/>
        <v>2.318105414948472E-05</v>
      </c>
      <c r="V635">
        <f>+'Material Properties'!AE$31+'Material Properties'!AE$33</f>
        <v>0.00029034311030761144</v>
      </c>
      <c r="W635">
        <f t="shared" si="421"/>
        <v>0.0003135241644570962</v>
      </c>
      <c r="X635" s="1">
        <f>+'Volcano Summary'!E$12*10^9/Q635/3600/24/365</f>
        <v>0</v>
      </c>
      <c r="Y635" s="3">
        <f t="shared" si="422"/>
        <v>4000</v>
      </c>
      <c r="Z635" s="1">
        <f>+Y635*'Volcano Summary'!B$19*'Volcano Summary'!B$20/1000</f>
        <v>162000000</v>
      </c>
      <c r="AA635" s="1">
        <f t="shared" si="423"/>
        <v>381673.6332278611</v>
      </c>
      <c r="AB635" s="3">
        <f t="shared" si="432"/>
        <v>106.02045367440586</v>
      </c>
      <c r="AC635" s="1">
        <f t="shared" si="424"/>
        <v>167085676.86028355</v>
      </c>
      <c r="AD635" s="36">
        <f t="shared" si="425"/>
        <v>46412.68801674542</v>
      </c>
      <c r="AE635" s="36">
        <f t="shared" si="406"/>
        <v>1933.862000697726</v>
      </c>
      <c r="AG635" s="1">
        <f t="shared" si="426"/>
        <v>162000000000</v>
      </c>
      <c r="AH635" s="1">
        <f t="shared" si="427"/>
        <v>162000000</v>
      </c>
      <c r="AI635" s="1">
        <f t="shared" si="428"/>
        <v>162162000000</v>
      </c>
      <c r="AJ635" s="1">
        <f t="shared" si="429"/>
        <v>15649200000000</v>
      </c>
      <c r="AK635" s="1">
        <f t="shared" si="430"/>
        <v>15664849200000</v>
      </c>
      <c r="AL635" s="39">
        <f>+AJ635/('Volcano Summary'!C$8)*10^6</f>
        <v>1086412.5027950276</v>
      </c>
      <c r="AM635" s="1">
        <f t="shared" si="431"/>
        <v>1933.862000697726</v>
      </c>
    </row>
    <row r="636" spans="1:39" ht="12.75">
      <c r="A636" s="1">
        <f t="shared" si="407"/>
        <v>381673.6332278611</v>
      </c>
      <c r="B636" s="1">
        <f t="shared" si="408"/>
        <v>1942.5992808391572</v>
      </c>
      <c r="C636" s="1">
        <f t="shared" si="373"/>
        <v>400000</v>
      </c>
      <c r="D636" s="1">
        <f t="shared" si="383"/>
        <v>713.6496464611084</v>
      </c>
      <c r="E636" s="38">
        <f t="shared" si="409"/>
        <v>7534553873.639291</v>
      </c>
      <c r="F636" s="38">
        <f t="shared" si="410"/>
        <v>4844326595.478855</v>
      </c>
      <c r="G636" s="38">
        <f t="shared" si="411"/>
        <v>2154099317.318419</v>
      </c>
      <c r="H636" s="19">
        <f t="shared" si="412"/>
        <v>0.0007006239020497412</v>
      </c>
      <c r="I636" s="50">
        <f t="shared" si="405"/>
        <v>0.018641063410649757</v>
      </c>
      <c r="J636" s="3">
        <f t="shared" si="413"/>
        <v>2.8060374585126087</v>
      </c>
      <c r="K636" s="12">
        <f t="shared" si="403"/>
        <v>0.627659610716042</v>
      </c>
      <c r="L636" s="3">
        <f t="shared" si="386"/>
        <v>991.7519853316336</v>
      </c>
      <c r="M636" s="12">
        <f t="shared" si="414"/>
        <v>0.6382241498340504</v>
      </c>
      <c r="N636" s="37">
        <f t="shared" si="415"/>
        <v>565827.6536803064</v>
      </c>
      <c r="O636" s="1">
        <f t="shared" si="416"/>
        <v>575362.6638019138</v>
      </c>
      <c r="P636">
        <f t="shared" si="388"/>
        <v>758.5266401398924</v>
      </c>
      <c r="Q636" s="1">
        <f t="shared" si="417"/>
        <v>429195.3490443614</v>
      </c>
      <c r="R636" s="1">
        <f>+Q636*1000/'Material Properties'!AE$35</f>
        <v>368072099.7275923</v>
      </c>
      <c r="S636" s="1">
        <f t="shared" si="418"/>
        <v>920.1802493189807</v>
      </c>
      <c r="T636" s="1">
        <f t="shared" si="419"/>
        <v>369.2693202915186</v>
      </c>
      <c r="U636">
        <f t="shared" si="420"/>
        <v>2.3172909071029077E-05</v>
      </c>
      <c r="V636">
        <f>+'Material Properties'!AE$31+'Material Properties'!AE$33</f>
        <v>0.00029034311030761144</v>
      </c>
      <c r="W636">
        <f t="shared" si="421"/>
        <v>0.0003135160193786405</v>
      </c>
      <c r="X636" s="1">
        <f>+'Volcano Summary'!E$12*10^9/Q636/3600/24/365</f>
        <v>0</v>
      </c>
      <c r="Y636" s="3">
        <f t="shared" si="422"/>
        <v>8000</v>
      </c>
      <c r="Z636" s="1">
        <f>+Y636*'Volcano Summary'!B$19*'Volcano Summary'!B$20/1000</f>
        <v>324000000</v>
      </c>
      <c r="AA636" s="1">
        <f t="shared" si="423"/>
        <v>754901.0042196695</v>
      </c>
      <c r="AB636" s="3">
        <f t="shared" si="432"/>
        <v>209.69472339435265</v>
      </c>
      <c r="AC636" s="1">
        <f t="shared" si="424"/>
        <v>167840577.86450323</v>
      </c>
      <c r="AD636" s="36">
        <f t="shared" si="425"/>
        <v>46622.38274013977</v>
      </c>
      <c r="AE636" s="36">
        <f t="shared" si="406"/>
        <v>1942.5992808391572</v>
      </c>
      <c r="AG636" s="1">
        <f t="shared" si="426"/>
        <v>324000000000</v>
      </c>
      <c r="AH636" s="1">
        <f t="shared" si="427"/>
        <v>324000000</v>
      </c>
      <c r="AI636" s="1">
        <f t="shared" si="428"/>
        <v>324324000000</v>
      </c>
      <c r="AJ636" s="1">
        <f t="shared" si="429"/>
        <v>15973200000000</v>
      </c>
      <c r="AK636" s="1">
        <f t="shared" si="430"/>
        <v>15989173200000</v>
      </c>
      <c r="AL636" s="39">
        <f>+AJ636/('Volcano Summary'!C$8)*10^6</f>
        <v>1108905.5152752558</v>
      </c>
      <c r="AM636" s="1">
        <f t="shared" si="431"/>
        <v>1942.5992808391572</v>
      </c>
    </row>
    <row r="637" spans="1:39" ht="12.75">
      <c r="A637" s="1">
        <f t="shared" si="407"/>
        <v>754901.0042196695</v>
      </c>
      <c r="B637" s="1">
        <f t="shared" si="408"/>
        <v>1951.1471693073797</v>
      </c>
      <c r="C637" s="1">
        <f t="shared" si="373"/>
        <v>408000</v>
      </c>
      <c r="D637" s="1">
        <f t="shared" si="383"/>
        <v>720.7508128694316</v>
      </c>
      <c r="E637" s="38">
        <f t="shared" si="409"/>
        <v>7609526405.517514</v>
      </c>
      <c r="F637" s="38">
        <f t="shared" si="410"/>
        <v>4892530037.407744</v>
      </c>
      <c r="G637" s="38">
        <f t="shared" si="411"/>
        <v>2175533669.297975</v>
      </c>
      <c r="H637" s="19">
        <f t="shared" si="412"/>
        <v>0.0006937210351652813</v>
      </c>
      <c r="I637" s="50">
        <f t="shared" si="405"/>
        <v>0.018615687385110526</v>
      </c>
      <c r="J637" s="3">
        <f t="shared" si="413"/>
        <v>2.7914093923112144</v>
      </c>
      <c r="K637" s="12">
        <f t="shared" si="403"/>
        <v>0.6270306038693821</v>
      </c>
      <c r="L637" s="3">
        <f t="shared" si="386"/>
        <v>990.7581046066169</v>
      </c>
      <c r="M637" s="12">
        <f t="shared" si="414"/>
        <v>0.6381656375692448</v>
      </c>
      <c r="N637" s="37">
        <f t="shared" si="415"/>
        <v>577144.2067539124</v>
      </c>
      <c r="O637" s="1">
        <f t="shared" si="416"/>
        <v>577798.1677297209</v>
      </c>
      <c r="P637">
        <f t="shared" si="388"/>
        <v>760.1303623259112</v>
      </c>
      <c r="Q637" s="1">
        <f t="shared" si="417"/>
        <v>438704.834994152</v>
      </c>
      <c r="R637" s="1">
        <f>+Q637*1000/'Material Properties'!AE$35</f>
        <v>376227305.6697417</v>
      </c>
      <c r="S637" s="1">
        <f t="shared" si="418"/>
        <v>922.1257491905434</v>
      </c>
      <c r="T637" s="1">
        <f t="shared" si="419"/>
        <v>369.5224519866455</v>
      </c>
      <c r="U637">
        <f t="shared" si="420"/>
        <v>2.315707364387635E-05</v>
      </c>
      <c r="V637">
        <f>+'Material Properties'!AE$31+'Material Properties'!AE$33</f>
        <v>0.00029034311030761144</v>
      </c>
      <c r="W637">
        <f t="shared" si="421"/>
        <v>0.0003135001839514878</v>
      </c>
      <c r="X637" s="1">
        <f>+'Volcano Summary'!E$12*10^9/Q637/3600/24/365</f>
        <v>0</v>
      </c>
      <c r="Y637" s="3">
        <f t="shared" si="422"/>
        <v>8000</v>
      </c>
      <c r="Z637" s="1">
        <f>+Y637*'Volcano Summary'!B$19*'Volcano Summary'!B$20/1000</f>
        <v>324000000</v>
      </c>
      <c r="AA637" s="1">
        <f t="shared" si="423"/>
        <v>738537.5636544306</v>
      </c>
      <c r="AB637" s="3">
        <f t="shared" si="432"/>
        <v>205.14932323734183</v>
      </c>
      <c r="AC637" s="1">
        <f t="shared" si="424"/>
        <v>168579115.42815766</v>
      </c>
      <c r="AD637" s="36">
        <f t="shared" si="425"/>
        <v>46827.53206337711</v>
      </c>
      <c r="AE637" s="36">
        <f t="shared" si="406"/>
        <v>1951.1471693073797</v>
      </c>
      <c r="AG637" s="1">
        <f t="shared" si="426"/>
        <v>324000000000</v>
      </c>
      <c r="AH637" s="1">
        <f t="shared" si="427"/>
        <v>324000000</v>
      </c>
      <c r="AI637" s="1">
        <f t="shared" si="428"/>
        <v>324324000000</v>
      </c>
      <c r="AJ637" s="1">
        <f t="shared" si="429"/>
        <v>16297200000000</v>
      </c>
      <c r="AK637" s="1">
        <f t="shared" si="430"/>
        <v>16313497200000</v>
      </c>
      <c r="AL637" s="39">
        <f>+AJ637/('Volcano Summary'!C$8)*10^6</f>
        <v>1131398.5277554842</v>
      </c>
      <c r="AM637" s="1">
        <f t="shared" si="431"/>
        <v>1951.1471693073797</v>
      </c>
    </row>
    <row r="638" spans="1:39" ht="12.75">
      <c r="A638" s="1">
        <f t="shared" si="407"/>
        <v>738537.5636544306</v>
      </c>
      <c r="B638" s="1">
        <f t="shared" si="408"/>
        <v>1516.1021216286524</v>
      </c>
      <c r="C638" s="1">
        <f t="shared" si="373"/>
        <v>416000</v>
      </c>
      <c r="D638" s="1">
        <f t="shared" si="383"/>
        <v>727.7826946347568</v>
      </c>
      <c r="E638" s="38">
        <f t="shared" si="409"/>
        <v>7683767445.580568</v>
      </c>
      <c r="F638" s="38">
        <f t="shared" si="410"/>
        <v>4940263168.112636</v>
      </c>
      <c r="G638" s="38">
        <f t="shared" si="411"/>
        <v>2196758890.644703</v>
      </c>
      <c r="H638" s="19">
        <f t="shared" si="412"/>
        <v>0.0006870182592771442</v>
      </c>
      <c r="I638" s="50">
        <f t="shared" si="405"/>
        <v>0.01859087112899693</v>
      </c>
      <c r="J638" s="3">
        <f t="shared" si="413"/>
        <v>2.7772267921489187</v>
      </c>
      <c r="K638" s="12">
        <f t="shared" si="403"/>
        <v>0.6264207520624034</v>
      </c>
      <c r="L638" s="3">
        <f t="shared" si="386"/>
        <v>989.794490364115</v>
      </c>
      <c r="M638" s="12">
        <f t="shared" si="414"/>
        <v>0.6381089071685957</v>
      </c>
      <c r="N638" s="37">
        <f t="shared" si="415"/>
        <v>588460.7598275185</v>
      </c>
      <c r="O638" s="1">
        <f t="shared" si="416"/>
        <v>580183.9999233604</v>
      </c>
      <c r="P638">
        <f t="shared" si="388"/>
        <v>761.698102874991</v>
      </c>
      <c r="Q638" s="1">
        <f t="shared" si="417"/>
        <v>448229.4443769966</v>
      </c>
      <c r="R638" s="1">
        <f>+Q638*1000/'Material Properties'!AE$35</f>
        <v>384395481.2625913</v>
      </c>
      <c r="S638" s="1">
        <f t="shared" si="418"/>
        <v>924.0275991889214</v>
      </c>
      <c r="T638" s="1">
        <f t="shared" si="419"/>
        <v>369.7666813230027</v>
      </c>
      <c r="U638">
        <f t="shared" si="420"/>
        <v>2.314181563172421E-05</v>
      </c>
      <c r="V638">
        <f>+'Material Properties'!AE$31+'Material Properties'!AE$33</f>
        <v>0.00029034311030761144</v>
      </c>
      <c r="W638">
        <f t="shared" si="421"/>
        <v>0.00031348492593933567</v>
      </c>
      <c r="X638" s="1">
        <f>+'Volcano Summary'!E$12*10^9/Q638/3600/24/365</f>
        <v>0</v>
      </c>
      <c r="Y638" s="3">
        <f t="shared" si="422"/>
        <v>-416000</v>
      </c>
      <c r="Z638" s="1">
        <f>+Y638*'Volcano Summary'!B$19*'Volcano Summary'!B$20/1000</f>
        <v>-16848000000</v>
      </c>
      <c r="AA638" s="1">
        <f t="shared" si="423"/>
        <v>-37587892.119442046</v>
      </c>
      <c r="AB638" s="3">
        <f t="shared" si="432"/>
        <v>-10441.081144289457</v>
      </c>
      <c r="AC638" s="1">
        <f t="shared" si="424"/>
        <v>130991223.30871561</v>
      </c>
      <c r="AD638" s="36">
        <f t="shared" si="425"/>
        <v>36386.450919087656</v>
      </c>
      <c r="AE638" s="36">
        <f t="shared" si="406"/>
        <v>1516.1021216286524</v>
      </c>
      <c r="AG638" s="1">
        <f t="shared" si="426"/>
        <v>-16847999999999.998</v>
      </c>
      <c r="AH638" s="1">
        <f t="shared" si="427"/>
        <v>-16848000000</v>
      </c>
      <c r="AI638" s="1">
        <f t="shared" si="428"/>
        <v>-16864847999999.998</v>
      </c>
      <c r="AJ638" s="1">
        <f t="shared" si="429"/>
        <v>-550799999999.998</v>
      </c>
      <c r="AK638" s="1">
        <f t="shared" si="430"/>
        <v>-551350799999.998</v>
      </c>
      <c r="AL638" s="39">
        <f>+AJ638/('Volcano Summary'!C$8)*10^6</f>
        <v>-38238.121216388</v>
      </c>
      <c r="AM638" s="1">
        <f t="shared" si="431"/>
        <v>1516.1021216286524</v>
      </c>
    </row>
  </sheetData>
  <hyperlinks>
    <hyperlink ref="T10" r:id="rId1" display="P@shock"/>
    <hyperlink ref="I187" r:id="rId2" display="=+H$14*@Ln(G15)/@Ln(G$14)"/>
    <hyperlink ref="I36" r:id="rId3" display="=+H$14*@Ln(G15)/@Ln(G$14)"/>
    <hyperlink ref="I15:I35" r:id="rId4" display="=+H$14*@Ln(G15)/@Ln(G$14)"/>
    <hyperlink ref="I137:I181" r:id="rId5" display="+2*@sqrt(Q7/PI())"/>
  </hyperlinks>
  <printOptions/>
  <pageMargins left="0.75" right="0.75" top="1" bottom="1" header="0.5" footer="0.5"/>
  <pageSetup horizontalDpi="200" verticalDpi="200"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self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 wilson</dc:creator>
  <cp:keywords/>
  <dc:description/>
  <cp:lastModifiedBy>ed wilson</cp:lastModifiedBy>
  <dcterms:created xsi:type="dcterms:W3CDTF">2004-06-20T19:11:49Z</dcterms:created>
  <dcterms:modified xsi:type="dcterms:W3CDTF">2006-03-18T19:32:32Z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